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435" yWindow="300" windowWidth="12240" windowHeight="10905" firstSheet="3" activeTab="3"/>
  </bookViews>
  <sheets>
    <sheet name="Team" sheetId="6" state="hidden" r:id="rId1"/>
    <sheet name="Summary " sheetId="5" state="hidden" r:id="rId2"/>
    <sheet name="Summary - 1, 2 &amp; 3" sheetId="9" state="hidden" r:id="rId3"/>
    <sheet name="VAVE-Plant-3" sheetId="2" r:id="rId4"/>
    <sheet name="Master Plan-SKH3" sheetId="13" r:id="rId5"/>
    <sheet name="Localization" sheetId="18" state="hidden" r:id="rId6"/>
    <sheet name="Costing" sheetId="12" r:id="rId7"/>
    <sheet name="Coil Blking" sheetId="10" r:id="rId8"/>
    <sheet name="VAVE-Binola &amp; SMC (2)" sheetId="11" state="hidden" r:id="rId9"/>
    <sheet name="Master Plan-Binol &amp; SMC" sheetId="16" state="hidden" r:id="rId10"/>
    <sheet name="va-ve Weld Shop-p2" sheetId="15" state="hidden" r:id="rId11"/>
    <sheet name="VAVE-Plant-1" sheetId="8" state="hidden" r:id="rId12"/>
    <sheet name="Volume" sheetId="14" r:id="rId13"/>
    <sheet name="SPM Upgr" sheetId="17" r:id="rId14"/>
    <sheet name="Sheet1" sheetId="19" r:id="rId15"/>
    <sheet name="SPM Upgr -Trial" sheetId="20" r:id="rId16"/>
    <sheet name="Sheet2" sheetId="21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a" localSheetId="9">'[1]Raw material'!#REF!</definedName>
    <definedName name="\a" localSheetId="15">'[1]Raw material'!#REF!</definedName>
    <definedName name="\a" localSheetId="10">'[1]Raw material'!#REF!</definedName>
    <definedName name="\a">'[1]Raw material'!#REF!</definedName>
    <definedName name="\b" localSheetId="9">'[1]Raw material'!#REF!</definedName>
    <definedName name="\b" localSheetId="15">'[1]Raw material'!#REF!</definedName>
    <definedName name="\b" localSheetId="10">'[1]Raw material'!#REF!</definedName>
    <definedName name="\b">'[1]Raw material'!#REF!</definedName>
    <definedName name="\c" localSheetId="9">'[1]Raw material'!#REF!</definedName>
    <definedName name="\c" localSheetId="15">'[1]Raw material'!#REF!</definedName>
    <definedName name="\c" localSheetId="10">'[1]Raw material'!#REF!</definedName>
    <definedName name="\c">'[1]Raw material'!#REF!</definedName>
    <definedName name="\d" localSheetId="9">'[1]Raw material'!#REF!</definedName>
    <definedName name="\d" localSheetId="15">'[1]Raw material'!#REF!</definedName>
    <definedName name="\d" localSheetId="10">'[1]Raw material'!#REF!</definedName>
    <definedName name="\d">'[1]Raw material'!#REF!</definedName>
    <definedName name="\s">#N/A</definedName>
    <definedName name="\t">#N/A</definedName>
    <definedName name="\u">#N/A</definedName>
    <definedName name="\x">#N/A</definedName>
    <definedName name="\y">#N/A</definedName>
    <definedName name="\z">#N/A</definedName>
    <definedName name="____NEW1" localSheetId="9">#REF!</definedName>
    <definedName name="____NEW1" localSheetId="15">#REF!</definedName>
    <definedName name="____NEW1">#REF!</definedName>
    <definedName name="____NEW2">#REF!</definedName>
    <definedName name="____NEW3" localSheetId="9">#REF!</definedName>
    <definedName name="____NEW3" localSheetId="15">#REF!</definedName>
    <definedName name="____NEW3">#REF!</definedName>
    <definedName name="____NEW4" localSheetId="9">#REF!</definedName>
    <definedName name="____NEW4" localSheetId="15">#REF!</definedName>
    <definedName name="____NEW4">#REF!</definedName>
    <definedName name="____NEW5" localSheetId="9">#REF!</definedName>
    <definedName name="____NEW5" localSheetId="15">#REF!</definedName>
    <definedName name="____NEW5">#REF!</definedName>
    <definedName name="____NEW6" localSheetId="9">#REF!</definedName>
    <definedName name="____NEW6" localSheetId="15">#REF!</definedName>
    <definedName name="____NEW6">#REF!</definedName>
    <definedName name="____NEW7" localSheetId="9">#REF!</definedName>
    <definedName name="____NEW7" localSheetId="15">#REF!</definedName>
    <definedName name="____NEW7">#REF!</definedName>
    <definedName name="____skh3" localSheetId="9">#REF!</definedName>
    <definedName name="____skh3" localSheetId="15">#REF!</definedName>
    <definedName name="____skh3">#REF!</definedName>
    <definedName name="____ST1" localSheetId="9">[2]SPIL!#REF!</definedName>
    <definedName name="____ST1" localSheetId="15">[2]SPIL!#REF!</definedName>
    <definedName name="____ST1">[2]SPIL!#REF!</definedName>
    <definedName name="____ST2" localSheetId="9">[2]SPIL!#REF!</definedName>
    <definedName name="____ST2" localSheetId="15">[2]SPIL!#REF!</definedName>
    <definedName name="____ST2">[2]SPIL!#REF!</definedName>
    <definedName name="____vol2" localSheetId="9">#REF!</definedName>
    <definedName name="____vol2" localSheetId="15">#REF!</definedName>
    <definedName name="____vol2">#REF!</definedName>
    <definedName name="____zz1">#REF!</definedName>
    <definedName name="___C1999_00" localSheetId="9">#REF!</definedName>
    <definedName name="___C1999_00" localSheetId="15">#REF!</definedName>
    <definedName name="___C1999_00">#REF!</definedName>
    <definedName name="___C2000_01" localSheetId="9">#REF!</definedName>
    <definedName name="___C2000_01" localSheetId="15">#REF!</definedName>
    <definedName name="___C2000_01">#REF!</definedName>
    <definedName name="___C2001_02" localSheetId="9">#REF!</definedName>
    <definedName name="___C2001_02" localSheetId="15">#REF!</definedName>
    <definedName name="___C2001_02">#REF!</definedName>
    <definedName name="___C2002_03" localSheetId="9">#REF!</definedName>
    <definedName name="___C2002_03" localSheetId="15">#REF!</definedName>
    <definedName name="___C2002_03">#REF!</definedName>
    <definedName name="___C2003_04" localSheetId="9">#REF!</definedName>
    <definedName name="___C2003_04" localSheetId="15">#REF!</definedName>
    <definedName name="___C2003_04">#REF!</definedName>
    <definedName name="___C2004_05" localSheetId="9">#REF!</definedName>
    <definedName name="___C2004_05" localSheetId="15">#REF!</definedName>
    <definedName name="___C2004_05">#REF!</definedName>
    <definedName name="___mds_first_cell___" localSheetId="10">#REF!</definedName>
    <definedName name="___mds_first_cell___">#REF!</definedName>
    <definedName name="___mds_view_data___" localSheetId="10">#REF!</definedName>
    <definedName name="___mds_view_data___">#REF!</definedName>
    <definedName name="___NEW1" localSheetId="9">#REF!</definedName>
    <definedName name="___NEW1" localSheetId="15">#REF!</definedName>
    <definedName name="___NEW1">#REF!</definedName>
    <definedName name="___NEW2" localSheetId="9">#REF!</definedName>
    <definedName name="___NEW2" localSheetId="15">#REF!</definedName>
    <definedName name="___NEW2">#REF!</definedName>
    <definedName name="___NEW3" localSheetId="9">#REF!</definedName>
    <definedName name="___NEW3" localSheetId="15">#REF!</definedName>
    <definedName name="___NEW3">#REF!</definedName>
    <definedName name="___NEW4" localSheetId="9">#REF!</definedName>
    <definedName name="___NEW4" localSheetId="15">#REF!</definedName>
    <definedName name="___NEW4">#REF!</definedName>
    <definedName name="___NEW5" localSheetId="9">#REF!</definedName>
    <definedName name="___NEW5" localSheetId="15">#REF!</definedName>
    <definedName name="___NEW5">#REF!</definedName>
    <definedName name="___NEW6" localSheetId="9">#REF!</definedName>
    <definedName name="___NEW6" localSheetId="15">#REF!</definedName>
    <definedName name="___NEW6">#REF!</definedName>
    <definedName name="___NEW7" localSheetId="9">#REF!</definedName>
    <definedName name="___NEW7" localSheetId="15">#REF!</definedName>
    <definedName name="___NEW7">#REF!</definedName>
    <definedName name="___skh3" localSheetId="9">#REF!</definedName>
    <definedName name="___skh3" localSheetId="15">#REF!</definedName>
    <definedName name="___skh3">#REF!</definedName>
    <definedName name="___ST1" localSheetId="9">[2]SPIL!#REF!</definedName>
    <definedName name="___ST1" localSheetId="15">[2]SPIL!#REF!</definedName>
    <definedName name="___ST1">[2]SPIL!#REF!</definedName>
    <definedName name="___ST2" localSheetId="9">[2]SPIL!#REF!</definedName>
    <definedName name="___ST2" localSheetId="15">[2]SPIL!#REF!</definedName>
    <definedName name="___ST2">[2]SPIL!#REF!</definedName>
    <definedName name="___vol2" localSheetId="9">#REF!</definedName>
    <definedName name="___vol2" localSheetId="15">#REF!</definedName>
    <definedName name="___vol2">#REF!</definedName>
    <definedName name="___zz1" localSheetId="9">#REF!</definedName>
    <definedName name="___zz1" localSheetId="15">#REF!</definedName>
    <definedName name="___zz1">#REF!</definedName>
    <definedName name="__1__123Graph_AChart_1" hidden="1">[3]MESLL!$A$9:$G$9</definedName>
    <definedName name="__123Graph_A" hidden="1">[4]DIRZEN!$A$598:$F$598</definedName>
    <definedName name="__123Graph_AC1" hidden="1">[5]DIRCAR!$A$147:$H$147</definedName>
    <definedName name="__123Graph_AC10" hidden="1">[5]DIRCAR!$A$487:$H$487</definedName>
    <definedName name="__123Graph_AC2" hidden="1">[5]DIRCAR!$A$185:$H$185</definedName>
    <definedName name="__123Graph_AC3" hidden="1">[5]DIRCAR!$F$219:$H$219</definedName>
    <definedName name="__123Graph_AC4" hidden="1">[5]DIRCAR!$A$254:$I$254</definedName>
    <definedName name="__123Graph_AC5" hidden="1">[5]DIRCAR!$A$293:$I$293</definedName>
    <definedName name="__123Graph_AC6" hidden="1">[5]DIRCAR!$A$330:$H$330</definedName>
    <definedName name="__123Graph_AC7" hidden="1">[5]DIRCAR!$A$367:$I$367</definedName>
    <definedName name="__123Graph_AC8" hidden="1">[5]DIRCAR!$A$405:$I$405</definedName>
    <definedName name="__123Graph_AC9" hidden="1">[5]DIRCAR!$A$444:$H$444</definedName>
    <definedName name="__123Graph_AF1" hidden="1">[4]DIRZEN!$A$566:$I$566</definedName>
    <definedName name="__123Graph_AH11" hidden="1">[5]DIRCAR!$A$528:$H$528</definedName>
    <definedName name="__123Graph_AI1" hidden="1">[5]DIRCAR!$A$783:$H$783</definedName>
    <definedName name="__123Graph_AM1" hidden="1">[4]DIRZEN!$A$537:$I$537</definedName>
    <definedName name="__123Graph_AO1" hidden="1">[5]DIRCAR!$A$829:$H$829</definedName>
    <definedName name="__123Graph_AO2" hidden="1">[5]DIRCAR!$A$894:$F$894</definedName>
    <definedName name="__123Graph_AO4" hidden="1">[5]DIRCAR!$A$859:$H$859</definedName>
    <definedName name="__123Graph_AP1" hidden="1">[4]DIRZEN!$A$598:$F$598</definedName>
    <definedName name="__123Graph_AQHTJ" hidden="1">[4]DIRZEN!$A$475:$I$475</definedName>
    <definedName name="__123Graph_ARAS2.PIC" hidden="1">[3]MESLL!$A$9:$H$9</definedName>
    <definedName name="__123Graph_AX19" hidden="1">[5]DIRCAR!$A$11:$H$11</definedName>
    <definedName name="__123Graph_AX31" hidden="1">[4]DIRZEN!$A$113:$I$113</definedName>
    <definedName name="__123Graph_AX32" hidden="1">[4]DIRZEN!$A$146:$H$146</definedName>
    <definedName name="__123Graph_AX33" hidden="1">[4]DIRZEN!$A$223:$H$223</definedName>
    <definedName name="__123Graph_AX34" hidden="1">[4]DIRZEN!$A$10:$I$10</definedName>
    <definedName name="__123Graph_AX36" hidden="1">[5]DIRCAR!$A$571:$I$571</definedName>
    <definedName name="__123Graph_AX37" hidden="1">[5]DIRCAR!$A$608:$I$608</definedName>
    <definedName name="__123Graph_AX40" hidden="1">[5]DIRCAR!$A$651:$H$651</definedName>
    <definedName name="__123Graph_AX42" hidden="1">[5]DIRCAR!$A$704:$H$704</definedName>
    <definedName name="__123Graph_AX52" hidden="1">[4]DIRZEN!$A$326:$I$326</definedName>
    <definedName name="__123Graph_AX53" hidden="1">[4]DIRZEN!$A$361:$I$361</definedName>
    <definedName name="__123Graph_AX54" hidden="1">[4]DIRZEN!$A$393:$I$393</definedName>
    <definedName name="__123Graph_AX55" hidden="1">[4]DIRZEN!$A$438:$H$438</definedName>
    <definedName name="__123Graph_AX59" hidden="1">[4]DIRZEN!$A$265:$H$265</definedName>
    <definedName name="__123Graph_AX60" hidden="1">[4]DIRZEN!$A$297:$H$297</definedName>
    <definedName name="__123Graph_AX65" hidden="1">[4]DIRZEN!$A$187:$I$187</definedName>
    <definedName name="__123Graph_AX70" hidden="1">[4]DIRZEN!$A$507:$I$507</definedName>
    <definedName name="__123Graph_B" hidden="1">[6]JBML!$B$10:$H$10</definedName>
    <definedName name="__123Graph_BF1" hidden="1">[4]DIRZEN!$A$567:$I$567</definedName>
    <definedName name="__123Graph_BP1" hidden="1">[5]DIRCAR!$A$745:$H$745</definedName>
    <definedName name="__123Graph_BX31" hidden="1">[5]DIRCAR!$A$41:$H$41</definedName>
    <definedName name="__123Graph_BX32" hidden="1">[4]DIRZEN!$A$147:$H$147</definedName>
    <definedName name="__123Graph_BX36" hidden="1">[5]DIRCAR!$A$572:$I$572</definedName>
    <definedName name="__123Graph_BX70" hidden="1">[4]DIRZEN!$A$508:$I$508</definedName>
    <definedName name="__123Graph_LBL_A" hidden="1">[4]DIRZEN!$A$598:$F$598</definedName>
    <definedName name="__123Graph_LBL_AC1" hidden="1">[5]DIRCAR!$A$147:$H$147</definedName>
    <definedName name="__123Graph_LBL_AC10" hidden="1">[5]DIRCAR!$A$487:$H$487</definedName>
    <definedName name="__123Graph_LBL_AC2" hidden="1">[5]DIRCAR!$A$185:$H$185</definedName>
    <definedName name="__123Graph_LBL_AC3" hidden="1">[5]DIRCAR!$F$219:$H$219</definedName>
    <definedName name="__123Graph_LBL_AC4" hidden="1">[5]DIRCAR!$A$254:$I$254</definedName>
    <definedName name="__123Graph_LBL_AC5" hidden="1">[5]DIRCAR!$A$293:$I$293</definedName>
    <definedName name="__123Graph_LBL_AC6" hidden="1">[5]DIRCAR!$A$330:$H$330</definedName>
    <definedName name="__123Graph_LBL_AC7" hidden="1">[5]DIRCAR!$A$367:$I$367</definedName>
    <definedName name="__123Graph_LBL_AC8" hidden="1">[5]DIRCAR!$A$405:$I$405</definedName>
    <definedName name="__123Graph_LBL_AC9" hidden="1">[5]DIRCAR!$A$444:$H$444</definedName>
    <definedName name="__123Graph_LBL_AF1" hidden="1">[4]DIRZEN!$A$566:$I$566</definedName>
    <definedName name="__123Graph_LBL_AH11" hidden="1">[5]DIRCAR!$A$528:$H$528</definedName>
    <definedName name="__123Graph_LBL_AI1" hidden="1">[5]DIRCAR!$A$783:$H$783</definedName>
    <definedName name="__123Graph_LBL_AM1" hidden="1">[4]DIRZEN!$A$537:$I$537</definedName>
    <definedName name="__123Graph_LBL_AO1" hidden="1">[5]DIRCAR!$A$829:$H$829</definedName>
    <definedName name="__123Graph_LBL_AO2" hidden="1">[5]DIRCAR!$A$894:$F$894</definedName>
    <definedName name="__123Graph_LBL_AO4" hidden="1">[5]DIRCAR!$A$859:$H$859</definedName>
    <definedName name="__123Graph_LBL_AP1" hidden="1">[4]DIRZEN!$A$598:$F$598</definedName>
    <definedName name="__123Graph_LBL_AQHTJ" hidden="1">[4]DIRZEN!$A$475:$I$475</definedName>
    <definedName name="__123Graph_LBL_AX19" hidden="1">[5]DIRCAR!$A$11:$H$11</definedName>
    <definedName name="__123Graph_LBL_AX31" hidden="1">[4]DIRZEN!$A$113:$I$113</definedName>
    <definedName name="__123Graph_LBL_AX32" hidden="1">[4]DIRZEN!$A$146:$H$146</definedName>
    <definedName name="__123Graph_LBL_AX33" hidden="1">[4]DIRZEN!$A$223:$H$223</definedName>
    <definedName name="__123Graph_LBL_AX34" hidden="1">[4]DIRZEN!$A$10:$I$10</definedName>
    <definedName name="__123Graph_LBL_AX36" hidden="1">[5]DIRCAR!$A$571:$I$571</definedName>
    <definedName name="__123Graph_LBL_AX37" hidden="1">[5]DIRCAR!$A$608:$I$608</definedName>
    <definedName name="__123Graph_LBL_AX40" hidden="1">[5]DIRCAR!$A$651:$H$651</definedName>
    <definedName name="__123Graph_LBL_AX42" hidden="1">[5]DIRCAR!$A$704:$H$704</definedName>
    <definedName name="__123Graph_LBL_AX52" hidden="1">[4]DIRZEN!$A$326:$I$326</definedName>
    <definedName name="__123Graph_LBL_AX53" hidden="1">[4]DIRZEN!$A$361:$I$361</definedName>
    <definedName name="__123Graph_LBL_AX54" hidden="1">[4]DIRZEN!$A$393:$I$393</definedName>
    <definedName name="__123Graph_LBL_AX55" hidden="1">[4]DIRZEN!$A$438:$H$438</definedName>
    <definedName name="__123Graph_LBL_AX59" hidden="1">[4]DIRZEN!$A$265:$H$265</definedName>
    <definedName name="__123Graph_LBL_AX60" hidden="1">[4]DIRZEN!$A$297:$H$297</definedName>
    <definedName name="__123Graph_LBL_AX65" hidden="1">[4]DIRZEN!$A$187:$I$187</definedName>
    <definedName name="__123Graph_LBL_AX70" hidden="1">[4]DIRZEN!$A$507:$I$507</definedName>
    <definedName name="__123Graph_LBL_BF1" hidden="1">[4]DIRZEN!$A$567:$I$567</definedName>
    <definedName name="__123Graph_LBL_BP1" hidden="1">[5]DIRCAR!$A$745:$H$745</definedName>
    <definedName name="__123Graph_LBL_BX31" hidden="1">[5]DIRCAR!$A$41:$H$41</definedName>
    <definedName name="__123Graph_LBL_BX32" hidden="1">[4]DIRZEN!$A$147:$H$147</definedName>
    <definedName name="__123Graph_LBL_BX36" hidden="1">[5]DIRCAR!$A$572:$I$572</definedName>
    <definedName name="__123Graph_LBL_BX70" hidden="1">[4]DIRZEN!$A$508:$I$508</definedName>
    <definedName name="__123Graph_X" hidden="1">[4]DIRZEN!$A$597:$F$597</definedName>
    <definedName name="__123Graph_XC1" hidden="1">[5]DIRCAR!$A$146:$H$146</definedName>
    <definedName name="__123Graph_XC10" hidden="1">[5]DIRCAR!$A$486:$H$486</definedName>
    <definedName name="__123Graph_XC2" hidden="1">[5]DIRCAR!$A$184:$H$184</definedName>
    <definedName name="__123Graph_XC3" hidden="1">[5]DIRCAR!$F$218:$H$218</definedName>
    <definedName name="__123Graph_XC4" hidden="1">[5]DIRCAR!$A$253:$I$253</definedName>
    <definedName name="__123Graph_XC5" hidden="1">[5]DIRCAR!$A$292:$I$292</definedName>
    <definedName name="__123Graph_XC6" hidden="1">[5]DIRCAR!$A$329:$H$329</definedName>
    <definedName name="__123Graph_XC7" hidden="1">[5]DIRCAR!$A$366:$I$366</definedName>
    <definedName name="__123Graph_XC8" hidden="1">[5]DIRCAR!$A$404:$I$404</definedName>
    <definedName name="__123Graph_XC9" hidden="1">[5]DIRCAR!$A$443:$H$443</definedName>
    <definedName name="__123Graph_XF1" hidden="1">[4]DIRZEN!$A$565:$I$565</definedName>
    <definedName name="__123Graph_XH11" hidden="1">[5]DIRCAR!$A$527:$H$527</definedName>
    <definedName name="__123Graph_XI1" hidden="1">[5]DIRCAR!$A$782:$H$782</definedName>
    <definedName name="__123Graph_XM1" hidden="1">[4]DIRZEN!$A$536:$I$536</definedName>
    <definedName name="__123Graph_XO1" hidden="1">[5]DIRCAR!$A$828:$H$828</definedName>
    <definedName name="__123Graph_XO2" hidden="1">[5]DIRCAR!$A$893:$F$893</definedName>
    <definedName name="__123Graph_XO4" hidden="1">[5]DIRCAR!$A$858:$H$858</definedName>
    <definedName name="__123Graph_XP1" hidden="1">[4]DIRZEN!$A$597:$F$597</definedName>
    <definedName name="__123Graph_XQHTJ" hidden="1">[4]DIRZEN!$A$474:$I$474</definedName>
    <definedName name="__123Graph_XRAS2.PIC" hidden="1">[3]MESLL!$A$8:$H$8</definedName>
    <definedName name="__123Graph_XX19" hidden="1">[5]DIRCAR!$A$10:$H$10</definedName>
    <definedName name="__123Graph_XX31" hidden="1">[4]DIRZEN!$A$112:$I$112</definedName>
    <definedName name="__123Graph_XX32" hidden="1">[4]DIRZEN!$A$145:$H$145</definedName>
    <definedName name="__123Graph_XX33" hidden="1">[4]DIRZEN!$A$222:$H$222</definedName>
    <definedName name="__123Graph_XX34" hidden="1">[4]DIRZEN!$A$9:$I$9</definedName>
    <definedName name="__123Graph_XX36" hidden="1">[5]DIRCAR!$A$570:$I$570</definedName>
    <definedName name="__123Graph_XX37" hidden="1">[5]DIRCAR!$A$607:$I$607</definedName>
    <definedName name="__123Graph_XX40" hidden="1">[5]DIRCAR!$A$650:$H$650</definedName>
    <definedName name="__123Graph_XX42" hidden="1">[5]DIRCAR!$A$703:$H$703</definedName>
    <definedName name="__123Graph_XX52" hidden="1">[4]DIRZEN!$A$325:$I$325</definedName>
    <definedName name="__123Graph_XX53" hidden="1">[4]DIRZEN!$A$360:$I$360</definedName>
    <definedName name="__123Graph_XX54" hidden="1">[4]DIRZEN!$A$392:$I$392</definedName>
    <definedName name="__123Graph_XX55" hidden="1">[4]DIRZEN!$A$437:$H$437</definedName>
    <definedName name="__123Graph_XX59" hidden="1">[4]DIRZEN!$A$264:$H$264</definedName>
    <definedName name="__123Graph_XX60" hidden="1">[4]DIRZEN!$A$296:$H$296</definedName>
    <definedName name="__123Graph_XX65" hidden="1">[4]DIRZEN!$A$186:$I$186</definedName>
    <definedName name="__123Graph_XX70" hidden="1">[4]DIRZEN!$A$506:$I$506</definedName>
    <definedName name="__2__123Graph_AChart_2" hidden="1">[7]MESLL!$A$9:$I$9</definedName>
    <definedName name="__3__123Graph_BChart_2" hidden="1">[6]JBML!$B$10:$J$10</definedName>
    <definedName name="__4__123Graph_XChart_1" hidden="1">[3]MESLL!$A$8:$G$8</definedName>
    <definedName name="__5__123Graph_XChart_2" hidden="1">[7]MESLL!$A$8:$I$8</definedName>
    <definedName name="__C1999_00" localSheetId="9">#REF!</definedName>
    <definedName name="__C1999_00" localSheetId="15">#REF!</definedName>
    <definedName name="__C1999_00">#REF!</definedName>
    <definedName name="__C2000_01" localSheetId="9">#REF!</definedName>
    <definedName name="__C2000_01" localSheetId="15">#REF!</definedName>
    <definedName name="__C2000_01">#REF!</definedName>
    <definedName name="__C2001_02" localSheetId="9">#REF!</definedName>
    <definedName name="__C2001_02" localSheetId="15">#REF!</definedName>
    <definedName name="__C2001_02">#REF!</definedName>
    <definedName name="__C2002_03" localSheetId="9">#REF!</definedName>
    <definedName name="__C2002_03" localSheetId="15">#REF!</definedName>
    <definedName name="__C2002_03">#REF!</definedName>
    <definedName name="__C2003_04" localSheetId="9">#REF!</definedName>
    <definedName name="__C2003_04" localSheetId="15">#REF!</definedName>
    <definedName name="__C2003_04">#REF!</definedName>
    <definedName name="__C2004_05" localSheetId="9">#REF!</definedName>
    <definedName name="__C2004_05" localSheetId="15">#REF!</definedName>
    <definedName name="__C2004_05">#REF!</definedName>
    <definedName name="__NEW1" localSheetId="9">#REF!</definedName>
    <definedName name="__NEW1" localSheetId="15">#REF!</definedName>
    <definedName name="__NEW1">#REF!</definedName>
    <definedName name="__NEW2" localSheetId="9">#REF!</definedName>
    <definedName name="__NEW2" localSheetId="15">#REF!</definedName>
    <definedName name="__NEW2">#REF!</definedName>
    <definedName name="__NEW3" localSheetId="9">#REF!</definedName>
    <definedName name="__NEW3" localSheetId="15">#REF!</definedName>
    <definedName name="__NEW3">#REF!</definedName>
    <definedName name="__NEW4" localSheetId="9">#REF!</definedName>
    <definedName name="__NEW4" localSheetId="15">#REF!</definedName>
    <definedName name="__NEW4">#REF!</definedName>
    <definedName name="__NEW5" localSheetId="9">#REF!</definedName>
    <definedName name="__NEW5" localSheetId="15">#REF!</definedName>
    <definedName name="__NEW5">#REF!</definedName>
    <definedName name="__NEW6" localSheetId="9">#REF!</definedName>
    <definedName name="__NEW6" localSheetId="15">#REF!</definedName>
    <definedName name="__NEW6">#REF!</definedName>
    <definedName name="__NEW7" localSheetId="9">#REF!</definedName>
    <definedName name="__NEW7" localSheetId="15">#REF!</definedName>
    <definedName name="__NEW7">#REF!</definedName>
    <definedName name="__skh3" localSheetId="9">#REF!</definedName>
    <definedName name="__skh3" localSheetId="15">#REF!</definedName>
    <definedName name="__skh3">#REF!</definedName>
    <definedName name="__ST1" localSheetId="9">[2]SPIL!#REF!</definedName>
    <definedName name="__ST1" localSheetId="15">[2]SPIL!#REF!</definedName>
    <definedName name="__ST1">[2]SPIL!#REF!</definedName>
    <definedName name="__ST2" localSheetId="9">[2]SPIL!#REF!</definedName>
    <definedName name="__ST2" localSheetId="15">[2]SPIL!#REF!</definedName>
    <definedName name="__ST2">[2]SPIL!#REF!</definedName>
    <definedName name="__vol2" localSheetId="9">#REF!</definedName>
    <definedName name="__vol2" localSheetId="15">#REF!</definedName>
    <definedName name="__vol2">#REF!</definedName>
    <definedName name="__zz1" localSheetId="9">#REF!</definedName>
    <definedName name="__zz1" localSheetId="15">#REF!</definedName>
    <definedName name="__zz1">#REF!</definedName>
    <definedName name="_1" localSheetId="9">#REF!</definedName>
    <definedName name="_1" localSheetId="15">#REF!</definedName>
    <definedName name="_1" localSheetId="10">#REF!</definedName>
    <definedName name="_1">#REF!</definedName>
    <definedName name="_1__123Graph_AChart_1" hidden="1">[3]MESLL!$A$9:$G$9</definedName>
    <definedName name="_10" localSheetId="9">#REF!</definedName>
    <definedName name="_10" localSheetId="15">#REF!</definedName>
    <definedName name="_10" localSheetId="10">#REF!</definedName>
    <definedName name="_10">#REF!</definedName>
    <definedName name="_12" localSheetId="9">#REF!</definedName>
    <definedName name="_12" localSheetId="15">#REF!</definedName>
    <definedName name="_12" localSheetId="10">#REF!</definedName>
    <definedName name="_12">#REF!</definedName>
    <definedName name="_12_1" localSheetId="9">#REF!</definedName>
    <definedName name="_12_1" localSheetId="15">#REF!</definedName>
    <definedName name="_12_1" localSheetId="10">#REF!</definedName>
    <definedName name="_12_1">#REF!</definedName>
    <definedName name="_12_2" localSheetId="9">#REF!</definedName>
    <definedName name="_12_2" localSheetId="15">#REF!</definedName>
    <definedName name="_12_2" localSheetId="10">#REF!</definedName>
    <definedName name="_12_2">#REF!</definedName>
    <definedName name="_12_20" localSheetId="9">#REF!</definedName>
    <definedName name="_12_20" localSheetId="15">#REF!</definedName>
    <definedName name="_12_20" localSheetId="10">#REF!</definedName>
    <definedName name="_12_20">#REF!</definedName>
    <definedName name="_12_21" localSheetId="9">#REF!</definedName>
    <definedName name="_12_21" localSheetId="15">#REF!</definedName>
    <definedName name="_12_21" localSheetId="10">#REF!</definedName>
    <definedName name="_12_21">#REF!</definedName>
    <definedName name="_12_3" localSheetId="9">#REF!</definedName>
    <definedName name="_12_3" localSheetId="15">#REF!</definedName>
    <definedName name="_12_3" localSheetId="10">#REF!</definedName>
    <definedName name="_12_3">#REF!</definedName>
    <definedName name="_12_6" localSheetId="9">#REF!</definedName>
    <definedName name="_12_6" localSheetId="15">#REF!</definedName>
    <definedName name="_12_6" localSheetId="10">#REF!</definedName>
    <definedName name="_12_6">#REF!</definedName>
    <definedName name="_12_7" localSheetId="9">#REF!</definedName>
    <definedName name="_12_7" localSheetId="15">#REF!</definedName>
    <definedName name="_12_7" localSheetId="10">#REF!</definedName>
    <definedName name="_12_7">#REF!</definedName>
    <definedName name="_2" localSheetId="10">#REF!</definedName>
    <definedName name="_2">#REF!</definedName>
    <definedName name="_2__123Graph_AChart_2" hidden="1">[7]MESLL!$A$9:$I$9</definedName>
    <definedName name="_2_1" localSheetId="10">#REF!</definedName>
    <definedName name="_2_1">#REF!</definedName>
    <definedName name="_2_2" localSheetId="10">#REF!</definedName>
    <definedName name="_2_2">#REF!</definedName>
    <definedName name="_2_20" localSheetId="10">#REF!</definedName>
    <definedName name="_2_20">#REF!</definedName>
    <definedName name="_2_21" localSheetId="10">#REF!</definedName>
    <definedName name="_2_21">#REF!</definedName>
    <definedName name="_2_3" localSheetId="10">#REF!</definedName>
    <definedName name="_2_3">#REF!</definedName>
    <definedName name="_2_6" localSheetId="10">#REF!</definedName>
    <definedName name="_2_6">#REF!</definedName>
    <definedName name="_2_7" localSheetId="10">#REF!</definedName>
    <definedName name="_2_7">#REF!</definedName>
    <definedName name="_3" localSheetId="9">#REF!</definedName>
    <definedName name="_3" localSheetId="15">#REF!</definedName>
    <definedName name="_3" localSheetId="10">#REF!</definedName>
    <definedName name="_3">#REF!</definedName>
    <definedName name="_3__123Graph_BChart_2" hidden="1">[6]JBML!$B$10:$J$10</definedName>
    <definedName name="_4" localSheetId="9">#REF!</definedName>
    <definedName name="_4" localSheetId="15">#REF!</definedName>
    <definedName name="_4" localSheetId="10">#REF!</definedName>
    <definedName name="_4">#REF!</definedName>
    <definedName name="_4__123Graph_XChart_1" hidden="1">[3]MESLL!$A$8:$G$8</definedName>
    <definedName name="_5" localSheetId="9">#REF!</definedName>
    <definedName name="_5" localSheetId="15">#REF!</definedName>
    <definedName name="_5" localSheetId="10">#REF!</definedName>
    <definedName name="_5">#REF!</definedName>
    <definedName name="_5__123Graph_XChart_2" hidden="1">[7]MESLL!$A$8:$I$8</definedName>
    <definedName name="_6" localSheetId="9">#REF!</definedName>
    <definedName name="_6" localSheetId="15">#REF!</definedName>
    <definedName name="_6" localSheetId="10">#REF!</definedName>
    <definedName name="_6">#REF!</definedName>
    <definedName name="_7" localSheetId="9">#REF!</definedName>
    <definedName name="_7" localSheetId="15">#REF!</definedName>
    <definedName name="_7" localSheetId="10">#REF!</definedName>
    <definedName name="_7">#REF!</definedName>
    <definedName name="_8" localSheetId="9">#REF!</definedName>
    <definedName name="_8" localSheetId="15">#REF!</definedName>
    <definedName name="_8" localSheetId="10">#REF!</definedName>
    <definedName name="_8">#REF!</definedName>
    <definedName name="_9" localSheetId="9">#REF!</definedName>
    <definedName name="_9" localSheetId="15">#REF!</definedName>
    <definedName name="_9" localSheetId="10">#REF!</definedName>
    <definedName name="_9">#REF!</definedName>
    <definedName name="_a" localSheetId="10">#REF!</definedName>
    <definedName name="_a">#REF!</definedName>
    <definedName name="_b" localSheetId="10">#REF!</definedName>
    <definedName name="_b">#REF!</definedName>
    <definedName name="_c" localSheetId="10">#REF!</definedName>
    <definedName name="_c">#REF!</definedName>
    <definedName name="_d" localSheetId="10">#REF!</definedName>
    <definedName name="_d">#REF!</definedName>
    <definedName name="_Fill" localSheetId="9" hidden="1">[8]CASHFLOW!#REF!</definedName>
    <definedName name="_Fill" localSheetId="15" hidden="1">[8]CASHFLOW!#REF!</definedName>
    <definedName name="_Fill" localSheetId="10" hidden="1">[8]CASHFLOW!#REF!</definedName>
    <definedName name="_Fill" hidden="1">[8]CASHFLOW!#REF!</definedName>
    <definedName name="_Key1" localSheetId="10" hidden="1">#REF!</definedName>
    <definedName name="_Key1" hidden="1">#REF!</definedName>
    <definedName name="_Key2" localSheetId="9" hidden="1">#REF!</definedName>
    <definedName name="_Key2" localSheetId="15" hidden="1">#REF!</definedName>
    <definedName name="_Key2" localSheetId="10" hidden="1">#REF!</definedName>
    <definedName name="_Key2" hidden="1">#REF!</definedName>
    <definedName name="_NEW1" localSheetId="9">#REF!</definedName>
    <definedName name="_NEW1" localSheetId="15">#REF!</definedName>
    <definedName name="_NEW1">#REF!</definedName>
    <definedName name="_NEW2" localSheetId="9">#REF!</definedName>
    <definedName name="_NEW2" localSheetId="15">#REF!</definedName>
    <definedName name="_NEW2">#REF!</definedName>
    <definedName name="_NEW3" localSheetId="9">#REF!</definedName>
    <definedName name="_NEW3" localSheetId="15">#REF!</definedName>
    <definedName name="_NEW3">#REF!</definedName>
    <definedName name="_NEW4" localSheetId="9">#REF!</definedName>
    <definedName name="_NEW4" localSheetId="15">#REF!</definedName>
    <definedName name="_NEW4">#REF!</definedName>
    <definedName name="_NEW5" localSheetId="9">#REF!</definedName>
    <definedName name="_NEW5" localSheetId="15">#REF!</definedName>
    <definedName name="_NEW5">#REF!</definedName>
    <definedName name="_NEW6" localSheetId="9">#REF!</definedName>
    <definedName name="_NEW6" localSheetId="15">#REF!</definedName>
    <definedName name="_NEW6">#REF!</definedName>
    <definedName name="_NEW7" localSheetId="9">#REF!</definedName>
    <definedName name="_NEW7" localSheetId="15">#REF!</definedName>
    <definedName name="_NEW7">#REF!</definedName>
    <definedName name="_Order1" hidden="1">255</definedName>
    <definedName name="_Order2" hidden="1">255</definedName>
    <definedName name="_skh3" localSheetId="9">#REF!</definedName>
    <definedName name="_skh3" localSheetId="15">#REF!</definedName>
    <definedName name="_skh3">#REF!</definedName>
    <definedName name="_Sort" localSheetId="10" hidden="1">#REF!</definedName>
    <definedName name="_Sort" hidden="1">#REF!</definedName>
    <definedName name="_ST1" localSheetId="9">[2]SPIL!#REF!</definedName>
    <definedName name="_ST1" localSheetId="15">[2]SPIL!#REF!</definedName>
    <definedName name="_ST1">[2]SPIL!#REF!</definedName>
    <definedName name="_ST2" localSheetId="9">[2]SPIL!#REF!</definedName>
    <definedName name="_ST2" localSheetId="15">[2]SPIL!#REF!</definedName>
    <definedName name="_ST2">[2]SPIL!#REF!</definedName>
    <definedName name="_vol2" localSheetId="9">#REF!</definedName>
    <definedName name="_vol2" localSheetId="15">#REF!</definedName>
    <definedName name="_vol2">#REF!</definedName>
    <definedName name="_zz1" localSheetId="9">#REF!</definedName>
    <definedName name="_zz1" localSheetId="15">#REF!</definedName>
    <definedName name="_zz1">#REF!</definedName>
    <definedName name="A" localSheetId="9">'[1]Raw material'!#REF!</definedName>
    <definedName name="A" localSheetId="15">'[1]Raw material'!#REF!</definedName>
    <definedName name="A" localSheetId="10">'[1]Raw material'!#REF!</definedName>
    <definedName name="A">'[1]Raw material'!#REF!</definedName>
    <definedName name="aaa" localSheetId="10">#REF!</definedName>
    <definedName name="aaa">#REF!</definedName>
    <definedName name="aaaaaaa" localSheetId="10">#REF!</definedName>
    <definedName name="aaaaaaa">#REF!</definedName>
    <definedName name="abc" localSheetId="10">#REF!</definedName>
    <definedName name="abc">#REF!</definedName>
    <definedName name="abc_1" localSheetId="10">#REF!</definedName>
    <definedName name="abc_1">#REF!</definedName>
    <definedName name="abc_2" localSheetId="10">#REF!</definedName>
    <definedName name="abc_2">#REF!</definedName>
    <definedName name="abc_20" localSheetId="10">#REF!</definedName>
    <definedName name="abc_20">#REF!</definedName>
    <definedName name="abc_21" localSheetId="10">#REF!</definedName>
    <definedName name="abc_21">#REF!</definedName>
    <definedName name="abc_3" localSheetId="10">#REF!</definedName>
    <definedName name="abc_3">#REF!</definedName>
    <definedName name="Actual_Variance" localSheetId="10">#REF!</definedName>
    <definedName name="Actual_Variance">#REF!</definedName>
    <definedName name="AD_SP" localSheetId="9">[8]DATA!#REF!</definedName>
    <definedName name="AD_SP" localSheetId="15">[8]DATA!#REF!</definedName>
    <definedName name="AD_SP" localSheetId="10">[8]DATA!#REF!</definedName>
    <definedName name="AD_SP">[8]DATA!#REF!</definedName>
    <definedName name="ADD_DEP" localSheetId="10">#REF!</definedName>
    <definedName name="ADD_DEP">#REF!</definedName>
    <definedName name="ADD_SCH" localSheetId="10">#REF!</definedName>
    <definedName name="ADD_SCH">#REF!</definedName>
    <definedName name="Addtl_cost" localSheetId="9">#REF!</definedName>
    <definedName name="Addtl_cost" localSheetId="15">#REF!</definedName>
    <definedName name="Addtl_cost" localSheetId="10">#REF!</definedName>
    <definedName name="Addtl_cost">#REF!</definedName>
    <definedName name="ALTO_QIU_EXP" localSheetId="10">#REF!</definedName>
    <definedName name="ALTO_QIU_EXP">#REF!</definedName>
    <definedName name="AP" localSheetId="10">#REF!</definedName>
    <definedName name="AP">#REF!</definedName>
    <definedName name="B" localSheetId="9">'[1]Raw material'!#REF!</definedName>
    <definedName name="B" localSheetId="15">'[1]Raw material'!#REF!</definedName>
    <definedName name="B" localSheetId="10">'[1]Raw material'!#REF!</definedName>
    <definedName name="B">'[1]Raw material'!#REF!</definedName>
    <definedName name="bbb" localSheetId="10">#REF!</definedName>
    <definedName name="bbb">#REF!</definedName>
    <definedName name="BE_calc" localSheetId="10">#REF!</definedName>
    <definedName name="BE_calc">#REF!</definedName>
    <definedName name="Beg_Bal" localSheetId="10">#REF!</definedName>
    <definedName name="Beg_Bal">#REF!</definedName>
    <definedName name="BOXMAR" localSheetId="10">#REF!</definedName>
    <definedName name="BOXMAR">#REF!</definedName>
    <definedName name="BOXMAR_1" localSheetId="10">#REF!</definedName>
    <definedName name="BOXMAR_1">#REF!</definedName>
    <definedName name="BOXMAR_2" localSheetId="10">#REF!</definedName>
    <definedName name="BOXMAR_2">#REF!</definedName>
    <definedName name="BOXMAR_20" localSheetId="10">#REF!</definedName>
    <definedName name="BOXMAR_20">#REF!</definedName>
    <definedName name="BOXMAR_21" localSheetId="10">#REF!</definedName>
    <definedName name="BOXMAR_21">#REF!</definedName>
    <definedName name="BOXMAR_6" localSheetId="10">#REF!</definedName>
    <definedName name="BOXMAR_6">#REF!</definedName>
    <definedName name="BS" localSheetId="10">#REF!</definedName>
    <definedName name="BS">#REF!</definedName>
    <definedName name="bs_10" localSheetId="10">#REF!</definedName>
    <definedName name="bs_10">#REF!</definedName>
    <definedName name="BS_3" localSheetId="10">#REF!</definedName>
    <definedName name="BS_3">#REF!</definedName>
    <definedName name="bw" localSheetId="9">[9]Summary!#REF!</definedName>
    <definedName name="bw" localSheetId="15">[9]Summary!#REF!</definedName>
    <definedName name="bw" localSheetId="10">[9]Summary!#REF!</definedName>
    <definedName name="bw">[9]Summary!#REF!</definedName>
    <definedName name="byr">NA()</definedName>
    <definedName name="C_" localSheetId="9">'[1]Raw material'!#REF!</definedName>
    <definedName name="C_" localSheetId="15">'[1]Raw material'!#REF!</definedName>
    <definedName name="C_" localSheetId="10">'[1]Raw material'!#REF!</definedName>
    <definedName name="C_">'[1]Raw material'!#REF!</definedName>
    <definedName name="Cap_10" localSheetId="10">#REF!</definedName>
    <definedName name="Cap_10">#REF!</definedName>
    <definedName name="Capitalisation" localSheetId="10">#REF!</definedName>
    <definedName name="Capitalisation">#REF!</definedName>
    <definedName name="Capitalisation_det" localSheetId="10">#REF!</definedName>
    <definedName name="Capitalisation_det">#REF!</definedName>
    <definedName name="Capoverso" localSheetId="10">#REF!</definedName>
    <definedName name="Capoverso">#REF!</definedName>
    <definedName name="Capoverso2" localSheetId="10">#REF!</definedName>
    <definedName name="Capoverso2">#REF!</definedName>
    <definedName name="CARDMAR" localSheetId="10">#REF!</definedName>
    <definedName name="CARDMAR">#REF!</definedName>
    <definedName name="CARDMAR_1" localSheetId="10">#REF!</definedName>
    <definedName name="CARDMAR_1">#REF!</definedName>
    <definedName name="CARDMAR_2" localSheetId="10">#REF!</definedName>
    <definedName name="CARDMAR_2">#REF!</definedName>
    <definedName name="CARDMAR_20" localSheetId="10">#REF!</definedName>
    <definedName name="CARDMAR_20">#REF!</definedName>
    <definedName name="CARDMAR_21" localSheetId="10">#REF!</definedName>
    <definedName name="CARDMAR_21">#REF!</definedName>
    <definedName name="CARDMAR_6" localSheetId="10">#REF!</definedName>
    <definedName name="CARDMAR_6">#REF!</definedName>
    <definedName name="CAREMAR" localSheetId="10">#REF!</definedName>
    <definedName name="CAREMAR">#REF!</definedName>
    <definedName name="CAREMAR_1" localSheetId="10">#REF!</definedName>
    <definedName name="CAREMAR_1">#REF!</definedName>
    <definedName name="CAREMAR_2" localSheetId="10">#REF!</definedName>
    <definedName name="CAREMAR_2">#REF!</definedName>
    <definedName name="CAREMAR_20" localSheetId="10">#REF!</definedName>
    <definedName name="CAREMAR_20">#REF!</definedName>
    <definedName name="CAREMAR_21" localSheetId="10">#REF!</definedName>
    <definedName name="CAREMAR_21">#REF!</definedName>
    <definedName name="CAREMAR_6" localSheetId="10">#REF!</definedName>
    <definedName name="CAREMAR_6">#REF!</definedName>
    <definedName name="CARLMAR" localSheetId="10">#REF!</definedName>
    <definedName name="CARLMAR">#REF!</definedName>
    <definedName name="CARLMAR_1" localSheetId="10">#REF!</definedName>
    <definedName name="CARLMAR_1">#REF!</definedName>
    <definedName name="CARLMAR_2" localSheetId="10">#REF!</definedName>
    <definedName name="CARLMAR_2">#REF!</definedName>
    <definedName name="CARLMAR_20" localSheetId="10">#REF!</definedName>
    <definedName name="CARLMAR_20">#REF!</definedName>
    <definedName name="CARLMAR_21" localSheetId="10">#REF!</definedName>
    <definedName name="CARLMAR_21">#REF!</definedName>
    <definedName name="CARLMAR_6" localSheetId="10">#REF!</definedName>
    <definedName name="CARLMAR_6">#REF!</definedName>
    <definedName name="cashflow" localSheetId="10">#REF!</definedName>
    <definedName name="cashflow">#REF!</definedName>
    <definedName name="Catalyser" localSheetId="10">#REF!</definedName>
    <definedName name="Catalyser">#REF!</definedName>
    <definedName name="Changes" localSheetId="9">#REF!</definedName>
    <definedName name="Changes" localSheetId="15">#REF!</definedName>
    <definedName name="Changes" localSheetId="10">#REF!</definedName>
    <definedName name="Changes">#REF!</definedName>
    <definedName name="Consumption" localSheetId="10">#REF!</definedName>
    <definedName name="Consumption">#REF!</definedName>
    <definedName name="cost_9899" localSheetId="9">#REF!</definedName>
    <definedName name="cost_9899" localSheetId="15">#REF!</definedName>
    <definedName name="cost_9899" localSheetId="10">#REF!</definedName>
    <definedName name="cost_9899">#REF!</definedName>
    <definedName name="Cost_and_cata" localSheetId="10">#REF!</definedName>
    <definedName name="Cost_and_cata">#REF!</definedName>
    <definedName name="Cost_DX" localSheetId="10">#REF!</definedName>
    <definedName name="Cost_DX">#REF!</definedName>
    <definedName name="cost_mar99" localSheetId="9">#REF!</definedName>
    <definedName name="cost_mar99" localSheetId="15">#REF!</definedName>
    <definedName name="cost_mar99" localSheetId="10">#REF!</definedName>
    <definedName name="cost_mar99">#REF!</definedName>
    <definedName name="COST_NEWMODELS" localSheetId="9">#REF!</definedName>
    <definedName name="COST_NEWMODELS" localSheetId="15">#REF!</definedName>
    <definedName name="COST_NEWMODELS" localSheetId="10">#REF!</definedName>
    <definedName name="COST_NEWMODELS">#REF!</definedName>
    <definedName name="Cost_sheet" localSheetId="10">#REF!</definedName>
    <definedName name="Cost_sheet">#REF!</definedName>
    <definedName name="Cost_Std" localSheetId="10">#REF!</definedName>
    <definedName name="Cost_Std">#REF!</definedName>
    <definedName name="CRA">NA()</definedName>
    <definedName name="Cum_Int" localSheetId="10">#REF!</definedName>
    <definedName name="Cum_Int">#REF!</definedName>
    <definedName name="D" localSheetId="9">'[1]Raw material'!#REF!</definedName>
    <definedName name="D" localSheetId="15">'[1]Raw material'!#REF!</definedName>
    <definedName name="D" localSheetId="10">'[1]Raw material'!#REF!</definedName>
    <definedName name="D">'[1]Raw material'!#REF!</definedName>
    <definedName name="Data" localSheetId="10">#REF!</definedName>
    <definedName name="Data">#REF!</definedName>
    <definedName name="data_sum" localSheetId="9">#REF!</definedName>
    <definedName name="data_sum" localSheetId="15">#REF!</definedName>
    <definedName name="data_sum" localSheetId="10">#REF!</definedName>
    <definedName name="data_sum">#REF!</definedName>
    <definedName name="data_summary" localSheetId="9">#REF!</definedName>
    <definedName name="data_summary" localSheetId="15">#REF!</definedName>
    <definedName name="data_summary" localSheetId="10">#REF!</definedName>
    <definedName name="data_summary">#REF!</definedName>
    <definedName name="_xlnm.Database">'[10]IED SPM'!$A$2:$H$333</definedName>
    <definedName name="ddd" localSheetId="9">#REF!</definedName>
    <definedName name="ddd" localSheetId="15">#REF!</definedName>
    <definedName name="ddd" localSheetId="10">#REF!</definedName>
    <definedName name="ddd">#REF!</definedName>
    <definedName name="DE" localSheetId="10">#REF!</definedName>
    <definedName name="DE">#REF!</definedName>
    <definedName name="DE_10" localSheetId="10">#REF!</definedName>
    <definedName name="DE_10">#REF!</definedName>
    <definedName name="dep_book" localSheetId="10">#REF!</definedName>
    <definedName name="dep_book">#REF!</definedName>
    <definedName name="DEP_IT" localSheetId="10">#REF!</definedName>
    <definedName name="DEP_IT">#REF!</definedName>
    <definedName name="dep_tax" localSheetId="10">#REF!</definedName>
    <definedName name="dep_tax">#REF!</definedName>
    <definedName name="depchart" localSheetId="10">#REF!</definedName>
    <definedName name="depchart">#REF!</definedName>
    <definedName name="DEPCHARTHALOL" localSheetId="10">#REF!</definedName>
    <definedName name="DEPCHARTHALOL">#REF!</definedName>
    <definedName name="Depreciation" localSheetId="10">#REF!</definedName>
    <definedName name="Depreciation">#REF!</definedName>
    <definedName name="Detailed" localSheetId="9">#REF!</definedName>
    <definedName name="Detailed" localSheetId="15">#REF!</definedName>
    <definedName name="Detailed" localSheetId="10">#REF!</definedName>
    <definedName name="Detailed">#REF!</definedName>
    <definedName name="dfsf" localSheetId="10">MATCH(0.01,'va-ve Weld Shop-p2'!End_Bal,-1)+1</definedName>
    <definedName name="dfsf">MATCH(0.01,'va-ve Weld Shop-p2'!End_Bal,-1)+1</definedName>
    <definedName name="DS_3" localSheetId="10">#REF!</definedName>
    <definedName name="DS_3">#REF!</definedName>
    <definedName name="E" localSheetId="9">'[1]Raw material'!#REF!</definedName>
    <definedName name="E" localSheetId="15">'[1]Raw material'!#REF!</definedName>
    <definedName name="E" localSheetId="10">'[1]Raw material'!#REF!</definedName>
    <definedName name="E">'[1]Raw material'!#REF!</definedName>
    <definedName name="End_Bal" localSheetId="10">#REF!</definedName>
    <definedName name="End_Bal">#REF!</definedName>
    <definedName name="ESTEEMMAR" localSheetId="10">#REF!</definedName>
    <definedName name="ESTEEMMAR">#REF!</definedName>
    <definedName name="ESTEEMMAR_1" localSheetId="10">#REF!</definedName>
    <definedName name="ESTEEMMAR_1">#REF!</definedName>
    <definedName name="ESTEEMMAR_2" localSheetId="10">#REF!</definedName>
    <definedName name="ESTEEMMAR_2">#REF!</definedName>
    <definedName name="ESTEEMMAR_20" localSheetId="10">#REF!</definedName>
    <definedName name="ESTEEMMAR_20">#REF!</definedName>
    <definedName name="ESTEEMMAR_21" localSheetId="10">#REF!</definedName>
    <definedName name="ESTEEMMAR_21">#REF!</definedName>
    <definedName name="ESTEEMMAR_6" localSheetId="10">#REF!</definedName>
    <definedName name="ESTEEMMAR_6">#REF!</definedName>
    <definedName name="Excel_BuiltIn__FilterDatabase_1" localSheetId="10">#REF!</definedName>
    <definedName name="Excel_BuiltIn__FilterDatabase_1">#REF!</definedName>
    <definedName name="Excel_BuiltIn__FilterDatabase_16" localSheetId="10">#REF!</definedName>
    <definedName name="Excel_BuiltIn__FilterDatabase_16">#REF!</definedName>
    <definedName name="Excel_BuiltIn__FilterDatabase_18" localSheetId="10">#REF!</definedName>
    <definedName name="Excel_BuiltIn__FilterDatabase_18">#REF!</definedName>
    <definedName name="Excel_BuiltIn__FilterDatabase_18_1" localSheetId="10">#REF!</definedName>
    <definedName name="Excel_BuiltIn__FilterDatabase_18_1">#REF!</definedName>
    <definedName name="Excel_BuiltIn__FilterDatabase_2" localSheetId="10">#REF!</definedName>
    <definedName name="Excel_BuiltIn__FilterDatabase_2">#REF!</definedName>
    <definedName name="Excel_BuiltIn__FilterDatabase_3" localSheetId="10">#REF!</definedName>
    <definedName name="Excel_BuiltIn__FilterDatabase_3">#REF!</definedName>
    <definedName name="Excel_BuiltIn__FilterDatabase_4">'[11]CPS N'!$P$1:$P$409</definedName>
    <definedName name="Excel_BuiltIn__FilterDatabase_5">'[11]CPS _N_'!$P$1:$P$130</definedName>
    <definedName name="Excel_BuiltIn__FilterDatabase_7" localSheetId="10">#REF!</definedName>
    <definedName name="Excel_BuiltIn__FilterDatabase_7">#REF!</definedName>
    <definedName name="Excel_BuiltIn_Database">'[12]IED SPM'!$A$2:$H$333</definedName>
    <definedName name="Excel_BuiltIn_Database_2">'[13]IED SPM'!$A$2:$H$333</definedName>
    <definedName name="Excel_BuiltIn_Print_Area" localSheetId="10">#REF!</definedName>
    <definedName name="Excel_BuiltIn_Print_Area">#REF!</definedName>
    <definedName name="Excel_BuiltIn_Print_Area_1" localSheetId="10">#REF!</definedName>
    <definedName name="Excel_BuiltIn_Print_Area_1">#REF!</definedName>
    <definedName name="Excel_BuiltIn_Print_Area_1_1" localSheetId="10">#REF!</definedName>
    <definedName name="Excel_BuiltIn_Print_Area_1_1">#REF!</definedName>
    <definedName name="Excel_BuiltIn_Print_Area_12" localSheetId="10">#REF!</definedName>
    <definedName name="Excel_BuiltIn_Print_Area_12">#REF!</definedName>
    <definedName name="Excel_BuiltIn_Print_Area_19" localSheetId="10">#REF!</definedName>
    <definedName name="Excel_BuiltIn_Print_Area_19">#REF!</definedName>
    <definedName name="Excel_BuiltIn_Print_Area_2" localSheetId="10">#REF!</definedName>
    <definedName name="Excel_BuiltIn_Print_Area_2">#REF!</definedName>
    <definedName name="Excel_BuiltIn_Print_Area_3" localSheetId="10">#REF!</definedName>
    <definedName name="Excel_BuiltIn_Print_Area_3">#REF!</definedName>
    <definedName name="Excel_BuiltIn_Print_Titles" localSheetId="9">#REF!</definedName>
    <definedName name="Excel_BuiltIn_Print_Titles" localSheetId="15">#REF!</definedName>
    <definedName name="Excel_BuiltIn_Print_Titles" localSheetId="10">#REF!</definedName>
    <definedName name="Excel_BuiltIn_Print_Titles">#REF!</definedName>
    <definedName name="Excel_BuiltIn_Print_Titles_12" localSheetId="10">#REF!</definedName>
    <definedName name="Excel_BuiltIn_Print_Titles_12">#REF!</definedName>
    <definedName name="Excel_BuiltIn_Print_Titles_4" localSheetId="9">[14]MOLY!#REF!</definedName>
    <definedName name="Excel_BuiltIn_Print_Titles_4" localSheetId="15">[14]MOLY!#REF!</definedName>
    <definedName name="Excel_BuiltIn_Print_Titles_4" localSheetId="10">[14]MOLY!#REF!</definedName>
    <definedName name="Excel_BuiltIn_Print_Titles_4">[14]MOLY!#REF!</definedName>
    <definedName name="Excel_BuiltIn_Print_Titles_5" localSheetId="9">#REF!</definedName>
    <definedName name="Excel_BuiltIn_Print_Titles_5" localSheetId="15">#REF!</definedName>
    <definedName name="Excel_BuiltIn_Print_Titles_5" localSheetId="10">#REF!</definedName>
    <definedName name="Excel_BuiltIn_Print_Titles_5">#REF!</definedName>
    <definedName name="excprc" localSheetId="10">#REF!</definedName>
    <definedName name="excprc">#REF!</definedName>
    <definedName name="Extra_Pay" localSheetId="10">#REF!</definedName>
    <definedName name="Extra_Pay">#REF!</definedName>
    <definedName name="_xlnm.Extract">[15]Foglio2!$A$10:$AK$10</definedName>
    <definedName name="F" localSheetId="9">'[1]Raw material'!#REF!</definedName>
    <definedName name="F" localSheetId="15">'[1]Raw material'!#REF!</definedName>
    <definedName name="F" localSheetId="10">'[1]Raw material'!#REF!</definedName>
    <definedName name="F">'[1]Raw material'!#REF!</definedName>
    <definedName name="F_F" localSheetId="9">#REF!</definedName>
    <definedName name="F_F" localSheetId="15">#REF!</definedName>
    <definedName name="F_F" localSheetId="10">#REF!</definedName>
    <definedName name="F_F">#REF!</definedName>
    <definedName name="fdsdf" localSheetId="10">IF('va-ve Weld Shop-p2'!Loan_Amount*'va-ve Weld Shop-p2'!Interest_Rate*'va-ve Weld Shop-p2'!Loan_Years*'va-ve Weld Shop-p2'!Loan_Start&gt;0,1,0)</definedName>
    <definedName name="fdsdf">IF('va-ve Weld Shop-p2'!Loan_Amount*'va-ve Weld Shop-p2'!Interest_Rate*'va-ve Weld Shop-p2'!Loan_Years*'va-ve Weld Shop-p2'!Loan_Start&gt;0,1,0)</definedName>
    <definedName name="FEB">NA()</definedName>
    <definedName name="FF" localSheetId="10">#REF!</definedName>
    <definedName name="FF">#REF!</definedName>
    <definedName name="FF_10" localSheetId="10">#REF!</definedName>
    <definedName name="FF_10">#REF!</definedName>
    <definedName name="FF_3" localSheetId="10">#REF!</definedName>
    <definedName name="FF_3">#REF!</definedName>
    <definedName name="Fixed" localSheetId="10">#REF!</definedName>
    <definedName name="Fixed">#REF!</definedName>
    <definedName name="Fixed_cost" localSheetId="10">#REF!</definedName>
    <definedName name="Fixed_cost">#REF!</definedName>
    <definedName name="Fixed_ext" localSheetId="10">#REF!</definedName>
    <definedName name="Fixed_ext">#REF!</definedName>
    <definedName name="format" localSheetId="9">#REF!</definedName>
    <definedName name="format" localSheetId="15">#REF!</definedName>
    <definedName name="format" localSheetId="10">#REF!</definedName>
    <definedName name="format">#REF!</definedName>
    <definedName name="Full_Print" localSheetId="10">#REF!</definedName>
    <definedName name="Full_Print">#REF!</definedName>
    <definedName name="FURNITURE" localSheetId="10">#REF!</definedName>
    <definedName name="FURNITURE">#REF!</definedName>
    <definedName name="G" localSheetId="9">'[1]Raw material'!#REF!</definedName>
    <definedName name="G" localSheetId="15">'[1]Raw material'!#REF!</definedName>
    <definedName name="G" localSheetId="10">'[1]Raw material'!#REF!</definedName>
    <definedName name="G">'[1]Raw material'!#REF!</definedName>
    <definedName name="GIUSTIFICA" localSheetId="10">#REF!</definedName>
    <definedName name="GIUSTIFICA">#REF!</definedName>
    <definedName name="GIUSTIFICA2" localSheetId="10">#REF!</definedName>
    <definedName name="GIUSTIFICA2">#REF!</definedName>
    <definedName name="GRIGLIA_si" localSheetId="10">#REF!</definedName>
    <definedName name="GRIGLIA_si">#REF!</definedName>
    <definedName name="GRIGLIA_si2" localSheetId="10">#REF!</definedName>
    <definedName name="GRIGLIA_si2">#REF!</definedName>
    <definedName name="GYPSYDMAR" localSheetId="10">#REF!</definedName>
    <definedName name="GYPSYDMAR">#REF!</definedName>
    <definedName name="GYPSYDMAR_1" localSheetId="10">#REF!</definedName>
    <definedName name="GYPSYDMAR_1">#REF!</definedName>
    <definedName name="GYPSYDMAR_2" localSheetId="10">#REF!</definedName>
    <definedName name="GYPSYDMAR_2">#REF!</definedName>
    <definedName name="GYPSYDMAR_20" localSheetId="10">#REF!</definedName>
    <definedName name="GYPSYDMAR_20">#REF!</definedName>
    <definedName name="GYPSYDMAR_21" localSheetId="10">#REF!</definedName>
    <definedName name="GYPSYDMAR_21">#REF!</definedName>
    <definedName name="GYPSYDMAR_6" localSheetId="10">#REF!</definedName>
    <definedName name="GYPSYDMAR_6">#REF!</definedName>
    <definedName name="H" localSheetId="9">'[1]Raw material'!#REF!</definedName>
    <definedName name="H" localSheetId="15">'[1]Raw material'!#REF!</definedName>
    <definedName name="H" localSheetId="10">'[1]Raw material'!#REF!</definedName>
    <definedName name="H">'[1]Raw material'!#REF!</definedName>
    <definedName name="Header_Row" localSheetId="10">ROW(#REF!)</definedName>
    <definedName name="Header_Row">ROW(#REF!)</definedName>
    <definedName name="hind" localSheetId="9">#REF!</definedName>
    <definedName name="hind" localSheetId="15">#REF!</definedName>
    <definedName name="hind" localSheetId="10">#REF!</definedName>
    <definedName name="hind">#REF!</definedName>
    <definedName name="HL" localSheetId="10">#REF!</definedName>
    <definedName name="HL">#REF!</definedName>
    <definedName name="HL_10" localSheetId="10">#REF!</definedName>
    <definedName name="HL_10">#REF!</definedName>
    <definedName name="HL_3" localSheetId="10">#REF!</definedName>
    <definedName name="HL_3">#REF!</definedName>
    <definedName name="HL_DET" localSheetId="10">#REF!</definedName>
    <definedName name="HL_DET">#REF!</definedName>
    <definedName name="I" localSheetId="9">'[1]Raw material'!#REF!</definedName>
    <definedName name="I" localSheetId="15">'[1]Raw material'!#REF!</definedName>
    <definedName name="I" localSheetId="10">'[1]Raw material'!#REF!</definedName>
    <definedName name="I">'[1]Raw material'!#REF!</definedName>
    <definedName name="Imports" localSheetId="10">#REF!</definedName>
    <definedName name="Imports">#REF!</definedName>
    <definedName name="INCOLLA_VALORI" localSheetId="10">#REF!</definedName>
    <definedName name="INCOLLA_VALORI">#REF!</definedName>
    <definedName name="INCOLLA_VALORI2" localSheetId="10">#REF!</definedName>
    <definedName name="INCOLLA_VALORI2">#REF!</definedName>
    <definedName name="income" localSheetId="10">#REF!</definedName>
    <definedName name="income">#REF!</definedName>
    <definedName name="Int" localSheetId="10">#REF!</definedName>
    <definedName name="Int">#REF!</definedName>
    <definedName name="Interest_Rate" localSheetId="10">#REF!</definedName>
    <definedName name="Interest_Rate">#REF!</definedName>
    <definedName name="IRG" localSheetId="10">#REF!</definedName>
    <definedName name="IRG">#REF!</definedName>
    <definedName name="IRG_10" localSheetId="10">#REF!</definedName>
    <definedName name="IRG_10">#REF!</definedName>
    <definedName name="IRG_3" localSheetId="10">#REF!</definedName>
    <definedName name="IRG_3">#REF!</definedName>
    <definedName name="J" localSheetId="9">'[1]Raw material'!#REF!</definedName>
    <definedName name="J" localSheetId="15">'[1]Raw material'!#REF!</definedName>
    <definedName name="J" localSheetId="10">'[1]Raw material'!#REF!</definedName>
    <definedName name="J">'[1]Raw material'!#REF!</definedName>
    <definedName name="jbml" localSheetId="10">#REF!</definedName>
    <definedName name="jbml">#REF!</definedName>
    <definedName name="K" localSheetId="9">'[1]Raw material'!#REF!</definedName>
    <definedName name="K" localSheetId="15">'[1]Raw material'!#REF!</definedName>
    <definedName name="K" localSheetId="10">'[1]Raw material'!#REF!</definedName>
    <definedName name="K">'[1]Raw material'!#REF!</definedName>
    <definedName name="L" localSheetId="9">'[1]Raw material'!#REF!</definedName>
    <definedName name="L" localSheetId="15">'[1]Raw material'!#REF!</definedName>
    <definedName name="L" localSheetId="10">'[1]Raw material'!#REF!</definedName>
    <definedName name="L">'[1]Raw material'!#REF!</definedName>
    <definedName name="Last_Row" localSheetId="10">IF('va-ve Weld Shop-p2'!Values_Entered,'va-ve Weld Shop-p2'!Header_Row+'va-ve Weld Shop-p2'!Number_of_Payments,'va-ve Weld Shop-p2'!Header_Row)</definedName>
    <definedName name="Last_Row">IF('va-ve Weld Shop-p2'!Values_Entered,Header_Row+'va-ve Weld Shop-p2'!Number_of_Payments,Header_Row)</definedName>
    <definedName name="Loan_Amount" localSheetId="10">#REF!</definedName>
    <definedName name="Loan_Amount">#REF!</definedName>
    <definedName name="Loan_Start" localSheetId="10">#REF!</definedName>
    <definedName name="Loan_Start">#REF!</definedName>
    <definedName name="Loan_Years" localSheetId="10">#REF!</definedName>
    <definedName name="Loan_Years">#REF!</definedName>
    <definedName name="Maiuscola" localSheetId="10">#REF!</definedName>
    <definedName name="Maiuscola">#REF!</definedName>
    <definedName name="Maiuscola2" localSheetId="10">#REF!</definedName>
    <definedName name="Maiuscola2">#REF!</definedName>
    <definedName name="Manpower" localSheetId="10">#REF!</definedName>
    <definedName name="Manpower">#REF!</definedName>
    <definedName name="MARCHK">NA()</definedName>
    <definedName name="MCMExp" localSheetId="10">#REF!</definedName>
    <definedName name="MCMExp">#REF!</definedName>
    <definedName name="MCMMON" localSheetId="10">#REF!</definedName>
    <definedName name="MCMMON">#REF!</definedName>
    <definedName name="MCMPL" localSheetId="10">#REF!</definedName>
    <definedName name="MCMPL">#REF!</definedName>
    <definedName name="MCMSal" localSheetId="10">#REF!</definedName>
    <definedName name="MCMSal">#REF!</definedName>
    <definedName name="ME" localSheetId="9">#REF!</definedName>
    <definedName name="ME" localSheetId="15">#REF!</definedName>
    <definedName name="ME" localSheetId="10">#REF!</definedName>
    <definedName name="ME">#REF!</definedName>
    <definedName name="Minuscola" localSheetId="10">#REF!</definedName>
    <definedName name="Minuscola">#REF!</definedName>
    <definedName name="MIXRICAVI">[16]Dati!$A$35:$N$74</definedName>
    <definedName name="MODMONTH" localSheetId="10">#REF!</definedName>
    <definedName name="MODMONTH">#REF!</definedName>
    <definedName name="MONTH" localSheetId="10">#REF!</definedName>
    <definedName name="MONTH">#REF!</definedName>
    <definedName name="NEW" localSheetId="9">#REF!</definedName>
    <definedName name="NEW" localSheetId="15">#REF!</definedName>
    <definedName name="NEW" localSheetId="10">#REF!</definedName>
    <definedName name="NEW">#REF!</definedName>
    <definedName name="NEXTCOPIA" localSheetId="10">#REF!</definedName>
    <definedName name="NEXTCOPIA">#REF!</definedName>
    <definedName name="NO">NA()</definedName>
    <definedName name="NOVEMBER" localSheetId="10">#REF!</definedName>
    <definedName name="NOVEMBER">#REF!</definedName>
    <definedName name="Num_Pmt_Per_Year" localSheetId="10">#REF!</definedName>
    <definedName name="Num_Pmt_Per_Year">#REF!</definedName>
    <definedName name="Number_of_Payments" localSheetId="10">MATCH(0.01,'va-ve Weld Shop-p2'!End_Bal,-1)+1</definedName>
    <definedName name="Number_of_Payments">MATCH(0.01,End_Bal,-1)+1</definedName>
    <definedName name="pall_3p" localSheetId="10">#REF!</definedName>
    <definedName name="pall_3p">#REF!</definedName>
    <definedName name="pall_4p" localSheetId="10">#REF!</definedName>
    <definedName name="pall_4p">#REF!</definedName>
    <definedName name="Pay_Date" localSheetId="10">#REF!</definedName>
    <definedName name="Pay_Date">#REF!</definedName>
    <definedName name="Pay_Num" localSheetId="10">#REF!</definedName>
    <definedName name="Pay_Num">#REF!</definedName>
    <definedName name="Payment_Date" localSheetId="9">DATE(YEAR([0]!Loan_Start),MONTH([0]!Loan_Start)+Payment_Number,DAY([0]!Loan_Start))</definedName>
    <definedName name="Payment_Date" localSheetId="15">DATE(YEAR([0]!Loan_Start),MONTH([0]!Loan_Start)+Payment_Number,DAY([0]!Loan_Start))</definedName>
    <definedName name="Payment_Date" localSheetId="10">DATE(YEAR('va-ve Weld Shop-p2'!Loan_Start),MONTH('va-ve Weld Shop-p2'!Loan_Start)+Payment_Number,DAY('va-ve Weld Shop-p2'!Loan_Start))</definedName>
    <definedName name="Payment_Date">DATE(YEAR(Loan_Start),MONTH(Loan_Start)+Payment_Number,DAY(Loan_Start))</definedName>
    <definedName name="PC">NA()</definedName>
    <definedName name="PL">#N/A</definedName>
    <definedName name="PL_10" localSheetId="10">#REF!</definedName>
    <definedName name="PL_10">#REF!</definedName>
    <definedName name="PL_3" localSheetId="10">#REF!</definedName>
    <definedName name="PL_3">#REF!</definedName>
    <definedName name="PL_Contribution" localSheetId="10">#REF!</definedName>
    <definedName name="PL_Contribution">#REF!</definedName>
    <definedName name="PL_DET3" localSheetId="10">#REF!</definedName>
    <definedName name="PL_DET3">#REF!</definedName>
    <definedName name="prclst" localSheetId="10">#REF!</definedName>
    <definedName name="prclst">#REF!</definedName>
    <definedName name="Prices" localSheetId="9">#REF!</definedName>
    <definedName name="Prices" localSheetId="15">#REF!</definedName>
    <definedName name="Prices" localSheetId="10">#REF!</definedName>
    <definedName name="Prices">#REF!</definedName>
    <definedName name="Princ" localSheetId="10">#REF!</definedName>
    <definedName name="Princ">#REF!</definedName>
    <definedName name="_xlnm.Print_Area" localSheetId="6">Costing!$A$1:$T$14</definedName>
    <definedName name="_xlnm.Print_Area" localSheetId="9">'Master Plan-Binol &amp; SMC'!$A$1:$X$100</definedName>
    <definedName name="_xlnm.Print_Area" localSheetId="4">'Master Plan-SKH3'!$A$1:$BE$90</definedName>
    <definedName name="_xlnm.Print_Area" localSheetId="15">#REF!</definedName>
    <definedName name="_xlnm.Print_Area" localSheetId="10">#REF!</definedName>
    <definedName name="_xlnm.Print_Area" localSheetId="3">'VAVE-Plant-3'!$A$1:$M$33</definedName>
    <definedName name="_xlnm.Print_Area">#REF!</definedName>
    <definedName name="PRINT_AREA_MI" localSheetId="9">'[1]Raw material'!#REF!</definedName>
    <definedName name="PRINT_AREA_MI" localSheetId="15">'[1]Raw material'!#REF!</definedName>
    <definedName name="PRINT_AREA_MI" localSheetId="10">'[1]Raw material'!#REF!</definedName>
    <definedName name="PRINT_AREA_MI">'[1]Raw material'!#REF!</definedName>
    <definedName name="PRINT_AREA_MI_1" localSheetId="10">#REF!</definedName>
    <definedName name="PRINT_AREA_MI_1">#REF!</definedName>
    <definedName name="PRINT_AREA_MI_19" localSheetId="10">#REF!</definedName>
    <definedName name="PRINT_AREA_MI_19">#REF!</definedName>
    <definedName name="PRINT_AREA_MI_2" localSheetId="10">#REF!</definedName>
    <definedName name="PRINT_AREA_MI_2">#REF!</definedName>
    <definedName name="PRINT_AREA_MI_20" localSheetId="10">#REF!</definedName>
    <definedName name="PRINT_AREA_MI_20">#REF!</definedName>
    <definedName name="PRINT_AREA_MI_21" localSheetId="10">#REF!</definedName>
    <definedName name="PRINT_AREA_MI_21">#REF!</definedName>
    <definedName name="PRINT_AREA_MI_3" localSheetId="10">#REF!</definedName>
    <definedName name="PRINT_AREA_MI_3">#REF!</definedName>
    <definedName name="Print_Area_Reset" localSheetId="10">OFFSET('va-ve Weld Shop-p2'!Full_Print,0,0,'va-ve Weld Shop-p2'!Last_Row)</definedName>
    <definedName name="Print_Area_Reset">OFFSET(Full_Print,0,0,Last_Row)</definedName>
    <definedName name="_xlnm.Print_Titles">#N/A</definedName>
    <definedName name="PRINT_TITLES_MI">#N/A</definedName>
    <definedName name="Prodn" localSheetId="10">#REF!</definedName>
    <definedName name="Prodn">#REF!</definedName>
    <definedName name="Production" localSheetId="10">#REF!</definedName>
    <definedName name="Production">#REF!</definedName>
    <definedName name="production_ext" localSheetId="10">#REF!</definedName>
    <definedName name="production_ext">#REF!</definedName>
    <definedName name="profit" localSheetId="10">#REF!</definedName>
    <definedName name="profit">#REF!</definedName>
    <definedName name="profit_3p" localSheetId="10">#REF!</definedName>
    <definedName name="profit_3p">#REF!</definedName>
    <definedName name="Profit_analysis" localSheetId="10">#REF!</definedName>
    <definedName name="Profit_analysis">#REF!</definedName>
    <definedName name="Proper" localSheetId="10">#REF!</definedName>
    <definedName name="Proper">#REF!</definedName>
    <definedName name="PVOL2">NA()</definedName>
    <definedName name="quick" localSheetId="10">#REF!</definedName>
    <definedName name="quick">#REF!</definedName>
    <definedName name="quick_1" localSheetId="10">#REF!</definedName>
    <definedName name="quick_1">#REF!</definedName>
    <definedName name="Quick_2" localSheetId="10">#REF!</definedName>
    <definedName name="Quick_2">#REF!</definedName>
    <definedName name="QUick_3" localSheetId="10">#REF!</definedName>
    <definedName name="QUick_3">#REF!</definedName>
    <definedName name="REAL_CE">[17]Ipotesi!$F$31</definedName>
    <definedName name="REAL_SP">[17]Ipotesi!$F$32</definedName>
    <definedName name="REC">NA()</definedName>
    <definedName name="rmlfy" localSheetId="10">#REF!</definedName>
    <definedName name="rmlfy">#REF!</definedName>
    <definedName name="Sales" localSheetId="10">#REF!</definedName>
    <definedName name="Sales">#REF!</definedName>
    <definedName name="SALES_10" localSheetId="10">#REF!</definedName>
    <definedName name="SALES_10">#REF!</definedName>
    <definedName name="sales_det" localSheetId="9">#REF!</definedName>
    <definedName name="sales_det" localSheetId="15">#REF!</definedName>
    <definedName name="sales_det" localSheetId="10">#REF!</definedName>
    <definedName name="sales_det">#REF!</definedName>
    <definedName name="Sales_price_etc" localSheetId="9">#REF!</definedName>
    <definedName name="Sales_price_etc" localSheetId="15">#REF!</definedName>
    <definedName name="Sales_price_etc" localSheetId="10">#REF!</definedName>
    <definedName name="Sales_price_etc">#REF!</definedName>
    <definedName name="SALES_QTY" localSheetId="9">#REF!</definedName>
    <definedName name="SALES_QTY" localSheetId="15">#REF!</definedName>
    <definedName name="SALES_QTY" localSheetId="10">#REF!</definedName>
    <definedName name="SALES_QTY">#REF!</definedName>
    <definedName name="sales_sum" localSheetId="10">#REF!</definedName>
    <definedName name="sales_sum">#REF!</definedName>
    <definedName name="Sched_Pay" localSheetId="10">#REF!</definedName>
    <definedName name="Sched_Pay">#REF!</definedName>
    <definedName name="SCHEDULE___1_SHARE_CAPITAL" localSheetId="9">[2]SPIL!#REF!</definedName>
    <definedName name="SCHEDULE___1_SHARE_CAPITAL" localSheetId="15">[2]SPIL!#REF!</definedName>
    <definedName name="SCHEDULE___1_SHARE_CAPITAL" localSheetId="10">[2]SPIL!#REF!</definedName>
    <definedName name="SCHEDULE___1_SHARE_CAPITAL">[2]SPIL!#REF!</definedName>
    <definedName name="SCHEDULE___1_SHARE_CAPITAL_1" localSheetId="9">[18]SPIL!#REF!</definedName>
    <definedName name="SCHEDULE___1_SHARE_CAPITAL_1" localSheetId="15">[18]SPIL!#REF!</definedName>
    <definedName name="SCHEDULE___1_SHARE_CAPITAL_1" localSheetId="10">[18]SPIL!#REF!</definedName>
    <definedName name="SCHEDULE___1_SHARE_CAPITAL_1">[18]SPIL!#REF!</definedName>
    <definedName name="SCHEDULE___1_SHARE_CAPITAL_20" localSheetId="9">'[19]Customerwise P&amp;L'!#REF!</definedName>
    <definedName name="SCHEDULE___1_SHARE_CAPITAL_20" localSheetId="15">'[19]Customerwise P&amp;L'!#REF!</definedName>
    <definedName name="SCHEDULE___1_SHARE_CAPITAL_20" localSheetId="10">'[19]Customerwise P&amp;L'!#REF!</definedName>
    <definedName name="SCHEDULE___1_SHARE_CAPITAL_20">'[19]Customerwise P&amp;L'!#REF!</definedName>
    <definedName name="SCHEDULE___1_SHARE_CAPITAL_21" localSheetId="9">'[19]Modelwise P&amp;L'!#REF!</definedName>
    <definedName name="SCHEDULE___1_SHARE_CAPITAL_21" localSheetId="15">'[19]Modelwise P&amp;L'!#REF!</definedName>
    <definedName name="SCHEDULE___1_SHARE_CAPITAL_21" localSheetId="10">'[19]Modelwise P&amp;L'!#REF!</definedName>
    <definedName name="SCHEDULE___1_SHARE_CAPITAL_21">'[19]Modelwise P&amp;L'!#REF!</definedName>
    <definedName name="SCHEDULE___1_SHARE_CAPITAL_3" localSheetId="9">'[20]P &amp; L PLANT-1 UPTO DEC''07'!#REF!</definedName>
    <definedName name="SCHEDULE___1_SHARE_CAPITAL_3" localSheetId="15">'[20]P &amp; L PLANT-1 UPTO DEC''07'!#REF!</definedName>
    <definedName name="SCHEDULE___1_SHARE_CAPITAL_3" localSheetId="10">'[20]P &amp; L PLANT-1 UPTO DEC''07'!#REF!</definedName>
    <definedName name="SCHEDULE___1_SHARE_CAPITAL_3">'[20]P &amp; L PLANT-1 UPTO DEC''07'!#REF!</definedName>
    <definedName name="SCHEDULE___1_SHARE_CAPITAL_6" localSheetId="9">'[21]P &amp; L PLANT-1 UPTO DEC''07'!#REF!</definedName>
    <definedName name="SCHEDULE___1_SHARE_CAPITAL_6" localSheetId="15">'[21]P &amp; L PLANT-1 UPTO DEC''07'!#REF!</definedName>
    <definedName name="SCHEDULE___1_SHARE_CAPITAL_6" localSheetId="10">'[21]P &amp; L PLANT-1 UPTO DEC''07'!#REF!</definedName>
    <definedName name="SCHEDULE___1_SHARE_CAPITAL_6">'[21]P &amp; L PLANT-1 UPTO DEC''07'!#REF!</definedName>
    <definedName name="SCHEDULE___10__MISCELLANEOUS_EXPENDITURE" localSheetId="9">[2]SPIL!#REF!</definedName>
    <definedName name="SCHEDULE___10__MISCELLANEOUS_EXPENDITURE" localSheetId="15">[2]SPIL!#REF!</definedName>
    <definedName name="SCHEDULE___10__MISCELLANEOUS_EXPENDITURE" localSheetId="10">[2]SPIL!#REF!</definedName>
    <definedName name="SCHEDULE___10__MISCELLANEOUS_EXPENDITURE">[2]SPIL!#REF!</definedName>
    <definedName name="SCHEDULE___10__MISCELLANEOUS_EXPENDITURE_1" localSheetId="9">[18]SPIL!#REF!</definedName>
    <definedName name="SCHEDULE___10__MISCELLANEOUS_EXPENDITURE_1" localSheetId="15">[18]SPIL!#REF!</definedName>
    <definedName name="SCHEDULE___10__MISCELLANEOUS_EXPENDITURE_1" localSheetId="10">[18]SPIL!#REF!</definedName>
    <definedName name="SCHEDULE___10__MISCELLANEOUS_EXPENDITURE_1">[18]SPIL!#REF!</definedName>
    <definedName name="SCHEDULE___10__MISCELLANEOUS_EXPENDITURE_20" localSheetId="9">'[19]Customerwise P&amp;L'!#REF!</definedName>
    <definedName name="SCHEDULE___10__MISCELLANEOUS_EXPENDITURE_20" localSheetId="15">'[19]Customerwise P&amp;L'!#REF!</definedName>
    <definedName name="SCHEDULE___10__MISCELLANEOUS_EXPENDITURE_20" localSheetId="10">'[19]Customerwise P&amp;L'!#REF!</definedName>
    <definedName name="SCHEDULE___10__MISCELLANEOUS_EXPENDITURE_20">'[19]Customerwise P&amp;L'!#REF!</definedName>
    <definedName name="SCHEDULE___10__MISCELLANEOUS_EXPENDITURE_21" localSheetId="9">'[19]Modelwise P&amp;L'!#REF!</definedName>
    <definedName name="SCHEDULE___10__MISCELLANEOUS_EXPENDITURE_21" localSheetId="15">'[19]Modelwise P&amp;L'!#REF!</definedName>
    <definedName name="SCHEDULE___10__MISCELLANEOUS_EXPENDITURE_21" localSheetId="10">'[19]Modelwise P&amp;L'!#REF!</definedName>
    <definedName name="SCHEDULE___10__MISCELLANEOUS_EXPENDITURE_21">'[19]Modelwise P&amp;L'!#REF!</definedName>
    <definedName name="SCHEDULE___10__MISCELLANEOUS_EXPENDITURE_3" localSheetId="9">'[20]P &amp; L PLANT-1 UPTO DEC''07'!#REF!</definedName>
    <definedName name="SCHEDULE___10__MISCELLANEOUS_EXPENDITURE_3" localSheetId="15">'[20]P &amp; L PLANT-1 UPTO DEC''07'!#REF!</definedName>
    <definedName name="SCHEDULE___10__MISCELLANEOUS_EXPENDITURE_3" localSheetId="10">'[20]P &amp; L PLANT-1 UPTO DEC''07'!#REF!</definedName>
    <definedName name="SCHEDULE___10__MISCELLANEOUS_EXPENDITURE_3">'[20]P &amp; L PLANT-1 UPTO DEC''07'!#REF!</definedName>
    <definedName name="SCHEDULE___10__MISCELLANEOUS_EXPENDITURE_6" localSheetId="9">'[21]P &amp; L PLANT-1 UPTO DEC''07'!#REF!</definedName>
    <definedName name="SCHEDULE___10__MISCELLANEOUS_EXPENDITURE_6" localSheetId="15">'[21]P &amp; L PLANT-1 UPTO DEC''07'!#REF!</definedName>
    <definedName name="SCHEDULE___10__MISCELLANEOUS_EXPENDITURE_6" localSheetId="10">'[21]P &amp; L PLANT-1 UPTO DEC''07'!#REF!</definedName>
    <definedName name="SCHEDULE___10__MISCELLANEOUS_EXPENDITURE_6">'[21]P &amp; L PLANT-1 UPTO DEC''07'!#REF!</definedName>
    <definedName name="SCHEDULE___11_TURNOVER">[2]SPIL!$A$18:$IV$19</definedName>
    <definedName name="SCHEDULE___11_TURNOVER_1">[18]SPIL!$A$18:$IV$19</definedName>
    <definedName name="SCHEDULE___11_TURNOVER_6">[22]SPIL!$A$18:$IV$19</definedName>
    <definedName name="SCHEDULE___12_OTHER_INCOME" localSheetId="9">[2]SPIL!#REF!</definedName>
    <definedName name="SCHEDULE___12_OTHER_INCOME" localSheetId="15">[2]SPIL!#REF!</definedName>
    <definedName name="SCHEDULE___12_OTHER_INCOME" localSheetId="10">[2]SPIL!#REF!</definedName>
    <definedName name="SCHEDULE___12_OTHER_INCOME">[2]SPIL!#REF!</definedName>
    <definedName name="SCHEDULE___12_OTHER_INCOME_1" localSheetId="9">[18]SPIL!#REF!</definedName>
    <definedName name="SCHEDULE___12_OTHER_INCOME_1" localSheetId="15">[18]SPIL!#REF!</definedName>
    <definedName name="SCHEDULE___12_OTHER_INCOME_1" localSheetId="10">[18]SPIL!#REF!</definedName>
    <definedName name="SCHEDULE___12_OTHER_INCOME_1">[18]SPIL!#REF!</definedName>
    <definedName name="SCHEDULE___12_OTHER_INCOME_20" localSheetId="9">'[19]Customerwise P&amp;L'!#REF!</definedName>
    <definedName name="SCHEDULE___12_OTHER_INCOME_20" localSheetId="15">'[19]Customerwise P&amp;L'!#REF!</definedName>
    <definedName name="SCHEDULE___12_OTHER_INCOME_20" localSheetId="10">'[19]Customerwise P&amp;L'!#REF!</definedName>
    <definedName name="SCHEDULE___12_OTHER_INCOME_20">'[19]Customerwise P&amp;L'!#REF!</definedName>
    <definedName name="SCHEDULE___12_OTHER_INCOME_21" localSheetId="9">'[19]Modelwise P&amp;L'!#REF!</definedName>
    <definedName name="SCHEDULE___12_OTHER_INCOME_21" localSheetId="15">'[19]Modelwise P&amp;L'!#REF!</definedName>
    <definedName name="SCHEDULE___12_OTHER_INCOME_21" localSheetId="10">'[19]Modelwise P&amp;L'!#REF!</definedName>
    <definedName name="SCHEDULE___12_OTHER_INCOME_21">'[19]Modelwise P&amp;L'!#REF!</definedName>
    <definedName name="SCHEDULE___12_OTHER_INCOME_6" localSheetId="9">[22]SPIL!#REF!</definedName>
    <definedName name="SCHEDULE___12_OTHER_INCOME_6" localSheetId="15">[22]SPIL!#REF!</definedName>
    <definedName name="SCHEDULE___12_OTHER_INCOME_6" localSheetId="10">[22]SPIL!#REF!</definedName>
    <definedName name="SCHEDULE___12_OTHER_INCOME_6">[22]SPIL!#REF!</definedName>
    <definedName name="SCHEDULE___13_COST_OF_MATERIALS">[2]SPIL!$A$24:$IV$24</definedName>
    <definedName name="SCHEDULE___13_COST_OF_MATERIALS_1">[18]SPIL!$A$24:$IV$24</definedName>
    <definedName name="SCHEDULE___13_COST_OF_MATERIALS_6">[22]SPIL!$A$24:$IV$24</definedName>
    <definedName name="SCHEDULE___14_PERSONNEL_EXPENSES">[2]SPIL!$A$26:$IV$33</definedName>
    <definedName name="SCHEDULE___14_PERSONNEL_EXPENSES_1">[18]SPIL!$A$26:$IV$33</definedName>
    <definedName name="SCHEDULE___14_PERSONNEL_EXPENSES_6">[22]SPIL!$A$26:$IV$33</definedName>
    <definedName name="SCHEDULE___15_FINANCE_CHARGES">[2]SPIL!$A$36:$IV$43</definedName>
    <definedName name="SCHEDULE___15_FINANCE_CHARGES_1">[18]SPIL!$A$36:$IV$43</definedName>
    <definedName name="SCHEDULE___15_FINANCE_CHARGES_6">[22]SPIL!$A$36:$IV$43</definedName>
    <definedName name="SCHEDULE___16_OTHER_EXPENSES">[2]SPIL!$A$45:$IV$58</definedName>
    <definedName name="SCHEDULE___16_OTHER_EXPENSES_1">[18]SPIL!$A$45:$IV$58</definedName>
    <definedName name="SCHEDULE___16_OTHER_EXPENSES_6">[22]SPIL!$A$45:$IV$58</definedName>
    <definedName name="SCHEDULE___2_RESERVES___SURPLUS" localSheetId="9">[2]SPIL!#REF!</definedName>
    <definedName name="SCHEDULE___2_RESERVES___SURPLUS" localSheetId="15">[2]SPIL!#REF!</definedName>
    <definedName name="SCHEDULE___2_RESERVES___SURPLUS" localSheetId="10">[2]SPIL!#REF!</definedName>
    <definedName name="SCHEDULE___2_RESERVES___SURPLUS">[2]SPIL!#REF!</definedName>
    <definedName name="SCHEDULE___2_RESERVES___SURPLUS_1" localSheetId="9">[18]SPIL!#REF!</definedName>
    <definedName name="SCHEDULE___2_RESERVES___SURPLUS_1" localSheetId="15">[18]SPIL!#REF!</definedName>
    <definedName name="SCHEDULE___2_RESERVES___SURPLUS_1" localSheetId="10">[18]SPIL!#REF!</definedName>
    <definedName name="SCHEDULE___2_RESERVES___SURPLUS_1">[18]SPIL!#REF!</definedName>
    <definedName name="SCHEDULE___2_RESERVES___SURPLUS_20" localSheetId="9">'[19]Customerwise P&amp;L'!#REF!</definedName>
    <definedName name="SCHEDULE___2_RESERVES___SURPLUS_20" localSheetId="15">'[19]Customerwise P&amp;L'!#REF!</definedName>
    <definedName name="SCHEDULE___2_RESERVES___SURPLUS_20" localSheetId="10">'[19]Customerwise P&amp;L'!#REF!</definedName>
    <definedName name="SCHEDULE___2_RESERVES___SURPLUS_20">'[19]Customerwise P&amp;L'!#REF!</definedName>
    <definedName name="SCHEDULE___2_RESERVES___SURPLUS_21" localSheetId="9">'[19]Modelwise P&amp;L'!#REF!</definedName>
    <definedName name="SCHEDULE___2_RESERVES___SURPLUS_21" localSheetId="15">'[19]Modelwise P&amp;L'!#REF!</definedName>
    <definedName name="SCHEDULE___2_RESERVES___SURPLUS_21" localSheetId="10">'[19]Modelwise P&amp;L'!#REF!</definedName>
    <definedName name="SCHEDULE___2_RESERVES___SURPLUS_21">'[19]Modelwise P&amp;L'!#REF!</definedName>
    <definedName name="SCHEDULE___2_RESERVES___SURPLUS_3" localSheetId="9">'[20]P &amp; L PLANT-1 UPTO DEC''07'!#REF!</definedName>
    <definedName name="SCHEDULE___2_RESERVES___SURPLUS_3" localSheetId="15">'[20]P &amp; L PLANT-1 UPTO DEC''07'!#REF!</definedName>
    <definedName name="SCHEDULE___2_RESERVES___SURPLUS_3" localSheetId="10">'[20]P &amp; L PLANT-1 UPTO DEC''07'!#REF!</definedName>
    <definedName name="SCHEDULE___2_RESERVES___SURPLUS_3">'[20]P &amp; L PLANT-1 UPTO DEC''07'!#REF!</definedName>
    <definedName name="SCHEDULE___2_RESERVES___SURPLUS_6" localSheetId="9">'[21]P &amp; L PLANT-1 UPTO DEC''07'!#REF!</definedName>
    <definedName name="SCHEDULE___2_RESERVES___SURPLUS_6" localSheetId="15">'[21]P &amp; L PLANT-1 UPTO DEC''07'!#REF!</definedName>
    <definedName name="SCHEDULE___2_RESERVES___SURPLUS_6" localSheetId="10">'[21]P &amp; L PLANT-1 UPTO DEC''07'!#REF!</definedName>
    <definedName name="SCHEDULE___2_RESERVES___SURPLUS_6">'[21]P &amp; L PLANT-1 UPTO DEC''07'!#REF!</definedName>
    <definedName name="SCHEDULE___3_SECURED_LOANS" localSheetId="9">[2]SPIL!#REF!</definedName>
    <definedName name="SCHEDULE___3_SECURED_LOANS" localSheetId="15">[2]SPIL!#REF!</definedName>
    <definedName name="SCHEDULE___3_SECURED_LOANS" localSheetId="10">[2]SPIL!#REF!</definedName>
    <definedName name="SCHEDULE___3_SECURED_LOANS">[2]SPIL!#REF!</definedName>
    <definedName name="SCHEDULE___3_SECURED_LOANS_1" localSheetId="9">[18]SPIL!#REF!</definedName>
    <definedName name="SCHEDULE___3_SECURED_LOANS_1" localSheetId="15">[18]SPIL!#REF!</definedName>
    <definedName name="SCHEDULE___3_SECURED_LOANS_1" localSheetId="10">[18]SPIL!#REF!</definedName>
    <definedName name="SCHEDULE___3_SECURED_LOANS_1">[18]SPIL!#REF!</definedName>
    <definedName name="SCHEDULE___3_SECURED_LOANS_20" localSheetId="9">'[19]Customerwise P&amp;L'!#REF!</definedName>
    <definedName name="SCHEDULE___3_SECURED_LOANS_20" localSheetId="15">'[19]Customerwise P&amp;L'!#REF!</definedName>
    <definedName name="SCHEDULE___3_SECURED_LOANS_20" localSheetId="10">'[19]Customerwise P&amp;L'!#REF!</definedName>
    <definedName name="SCHEDULE___3_SECURED_LOANS_20">'[19]Customerwise P&amp;L'!#REF!</definedName>
    <definedName name="SCHEDULE___3_SECURED_LOANS_21" localSheetId="9">'[19]Modelwise P&amp;L'!#REF!</definedName>
    <definedName name="SCHEDULE___3_SECURED_LOANS_21" localSheetId="15">'[19]Modelwise P&amp;L'!#REF!</definedName>
    <definedName name="SCHEDULE___3_SECURED_LOANS_21" localSheetId="10">'[19]Modelwise P&amp;L'!#REF!</definedName>
    <definedName name="SCHEDULE___3_SECURED_LOANS_21">'[19]Modelwise P&amp;L'!#REF!</definedName>
    <definedName name="SCHEDULE___3_SECURED_LOANS_3" localSheetId="9">'[20]P &amp; L PLANT-1 UPTO DEC''07'!#REF!</definedName>
    <definedName name="SCHEDULE___3_SECURED_LOANS_3" localSheetId="15">'[20]P &amp; L PLANT-1 UPTO DEC''07'!#REF!</definedName>
    <definedName name="SCHEDULE___3_SECURED_LOANS_3" localSheetId="10">'[20]P &amp; L PLANT-1 UPTO DEC''07'!#REF!</definedName>
    <definedName name="SCHEDULE___3_SECURED_LOANS_3">'[20]P &amp; L PLANT-1 UPTO DEC''07'!#REF!</definedName>
    <definedName name="SCHEDULE___3_SECURED_LOANS_6" localSheetId="9">'[21]P &amp; L PLANT-1 UPTO DEC''07'!#REF!</definedName>
    <definedName name="SCHEDULE___3_SECURED_LOANS_6" localSheetId="15">'[21]P &amp; L PLANT-1 UPTO DEC''07'!#REF!</definedName>
    <definedName name="SCHEDULE___3_SECURED_LOANS_6" localSheetId="10">'[21]P &amp; L PLANT-1 UPTO DEC''07'!#REF!</definedName>
    <definedName name="SCHEDULE___3_SECURED_LOANS_6">'[21]P &amp; L PLANT-1 UPTO DEC''07'!#REF!</definedName>
    <definedName name="SCHEDULE___4_UNSECURED_LOANS" localSheetId="9">[2]SPIL!#REF!</definedName>
    <definedName name="SCHEDULE___4_UNSECURED_LOANS" localSheetId="15">[2]SPIL!#REF!</definedName>
    <definedName name="SCHEDULE___4_UNSECURED_LOANS" localSheetId="10">[2]SPIL!#REF!</definedName>
    <definedName name="SCHEDULE___4_UNSECURED_LOANS">[2]SPIL!#REF!</definedName>
    <definedName name="SCHEDULE___4_UNSECURED_LOANS_1" localSheetId="9">[18]SPIL!#REF!</definedName>
    <definedName name="SCHEDULE___4_UNSECURED_LOANS_1" localSheetId="15">[18]SPIL!#REF!</definedName>
    <definedName name="SCHEDULE___4_UNSECURED_LOANS_1" localSheetId="10">[18]SPIL!#REF!</definedName>
    <definedName name="SCHEDULE___4_UNSECURED_LOANS_1">[18]SPIL!#REF!</definedName>
    <definedName name="SCHEDULE___4_UNSECURED_LOANS_20" localSheetId="9">'[19]Customerwise P&amp;L'!#REF!</definedName>
    <definedName name="SCHEDULE___4_UNSECURED_LOANS_20" localSheetId="15">'[19]Customerwise P&amp;L'!#REF!</definedName>
    <definedName name="SCHEDULE___4_UNSECURED_LOANS_20" localSheetId="10">'[19]Customerwise P&amp;L'!#REF!</definedName>
    <definedName name="SCHEDULE___4_UNSECURED_LOANS_20">'[19]Customerwise P&amp;L'!#REF!</definedName>
    <definedName name="SCHEDULE___4_UNSECURED_LOANS_21" localSheetId="9">'[19]Modelwise P&amp;L'!#REF!</definedName>
    <definedName name="SCHEDULE___4_UNSECURED_LOANS_21" localSheetId="15">'[19]Modelwise P&amp;L'!#REF!</definedName>
    <definedName name="SCHEDULE___4_UNSECURED_LOANS_21" localSheetId="10">'[19]Modelwise P&amp;L'!#REF!</definedName>
    <definedName name="SCHEDULE___4_UNSECURED_LOANS_21">'[19]Modelwise P&amp;L'!#REF!</definedName>
    <definedName name="SCHEDULE___4_UNSECURED_LOANS_3" localSheetId="9">'[20]P &amp; L PLANT-1 UPTO DEC''07'!#REF!</definedName>
    <definedName name="SCHEDULE___4_UNSECURED_LOANS_3" localSheetId="15">'[20]P &amp; L PLANT-1 UPTO DEC''07'!#REF!</definedName>
    <definedName name="SCHEDULE___4_UNSECURED_LOANS_3" localSheetId="10">'[20]P &amp; L PLANT-1 UPTO DEC''07'!#REF!</definedName>
    <definedName name="SCHEDULE___4_UNSECURED_LOANS_3">'[20]P &amp; L PLANT-1 UPTO DEC''07'!#REF!</definedName>
    <definedName name="SCHEDULE___4_UNSECURED_LOANS_6" localSheetId="9">'[21]P &amp; L PLANT-1 UPTO DEC''07'!#REF!</definedName>
    <definedName name="SCHEDULE___4_UNSECURED_LOANS_6" localSheetId="15">'[21]P &amp; L PLANT-1 UPTO DEC''07'!#REF!</definedName>
    <definedName name="SCHEDULE___4_UNSECURED_LOANS_6" localSheetId="10">'[21]P &amp; L PLANT-1 UPTO DEC''07'!#REF!</definedName>
    <definedName name="SCHEDULE___4_UNSECURED_LOANS_6">'[21]P &amp; L PLANT-1 UPTO DEC''07'!#REF!</definedName>
    <definedName name="SCHEDULE___5_DEFERRED_TAX_LIABILITY" localSheetId="9">[2]SPIL!#REF!</definedName>
    <definedName name="SCHEDULE___5_DEFERRED_TAX_LIABILITY" localSheetId="15">[2]SPIL!#REF!</definedName>
    <definedName name="SCHEDULE___5_DEFERRED_TAX_LIABILITY" localSheetId="10">[2]SPIL!#REF!</definedName>
    <definedName name="SCHEDULE___5_DEFERRED_TAX_LIABILITY">[2]SPIL!#REF!</definedName>
    <definedName name="SCHEDULE___5_DEFERRED_TAX_LIABILITY_1" localSheetId="9">[18]SPIL!#REF!</definedName>
    <definedName name="SCHEDULE___5_DEFERRED_TAX_LIABILITY_1" localSheetId="15">[18]SPIL!#REF!</definedName>
    <definedName name="SCHEDULE___5_DEFERRED_TAX_LIABILITY_1" localSheetId="10">[18]SPIL!#REF!</definedName>
    <definedName name="SCHEDULE___5_DEFERRED_TAX_LIABILITY_1">[18]SPIL!#REF!</definedName>
    <definedName name="SCHEDULE___5_DEFERRED_TAX_LIABILITY_20" localSheetId="9">'[19]Customerwise P&amp;L'!#REF!</definedName>
    <definedName name="SCHEDULE___5_DEFERRED_TAX_LIABILITY_20" localSheetId="15">'[19]Customerwise P&amp;L'!#REF!</definedName>
    <definedName name="SCHEDULE___5_DEFERRED_TAX_LIABILITY_20" localSheetId="10">'[19]Customerwise P&amp;L'!#REF!</definedName>
    <definedName name="SCHEDULE___5_DEFERRED_TAX_LIABILITY_20">'[19]Customerwise P&amp;L'!#REF!</definedName>
    <definedName name="SCHEDULE___5_DEFERRED_TAX_LIABILITY_21" localSheetId="9">'[19]Modelwise P&amp;L'!#REF!</definedName>
    <definedName name="SCHEDULE___5_DEFERRED_TAX_LIABILITY_21" localSheetId="15">'[19]Modelwise P&amp;L'!#REF!</definedName>
    <definedName name="SCHEDULE___5_DEFERRED_TAX_LIABILITY_21" localSheetId="10">'[19]Modelwise P&amp;L'!#REF!</definedName>
    <definedName name="SCHEDULE___5_DEFERRED_TAX_LIABILITY_21">'[19]Modelwise P&amp;L'!#REF!</definedName>
    <definedName name="SCHEDULE___5_DEFERRED_TAX_LIABILITY_3" localSheetId="9">'[20]P &amp; L PLANT-1 UPTO DEC''07'!#REF!</definedName>
    <definedName name="SCHEDULE___5_DEFERRED_TAX_LIABILITY_3" localSheetId="15">'[20]P &amp; L PLANT-1 UPTO DEC''07'!#REF!</definedName>
    <definedName name="SCHEDULE___5_DEFERRED_TAX_LIABILITY_3" localSheetId="10">'[20]P &amp; L PLANT-1 UPTO DEC''07'!#REF!</definedName>
    <definedName name="SCHEDULE___5_DEFERRED_TAX_LIABILITY_3">'[20]P &amp; L PLANT-1 UPTO DEC''07'!#REF!</definedName>
    <definedName name="SCHEDULE___5_DEFERRED_TAX_LIABILITY_6" localSheetId="9">'[21]P &amp; L PLANT-1 UPTO DEC''07'!#REF!</definedName>
    <definedName name="SCHEDULE___5_DEFERRED_TAX_LIABILITY_6" localSheetId="15">'[21]P &amp; L PLANT-1 UPTO DEC''07'!#REF!</definedName>
    <definedName name="SCHEDULE___5_DEFERRED_TAX_LIABILITY_6" localSheetId="10">'[21]P &amp; L PLANT-1 UPTO DEC''07'!#REF!</definedName>
    <definedName name="SCHEDULE___5_DEFERRED_TAX_LIABILITY_6">'[21]P &amp; L PLANT-1 UPTO DEC''07'!#REF!</definedName>
    <definedName name="SCHEDULE___7_INVESTMENTS" localSheetId="9">[2]SPIL!#REF!</definedName>
    <definedName name="SCHEDULE___7_INVESTMENTS" localSheetId="15">[2]SPIL!#REF!</definedName>
    <definedName name="SCHEDULE___7_INVESTMENTS" localSheetId="10">[2]SPIL!#REF!</definedName>
    <definedName name="SCHEDULE___7_INVESTMENTS">[2]SPIL!#REF!</definedName>
    <definedName name="SCHEDULE___7_INVESTMENTS_1" localSheetId="9">[18]SPIL!#REF!</definedName>
    <definedName name="SCHEDULE___7_INVESTMENTS_1" localSheetId="15">[18]SPIL!#REF!</definedName>
    <definedName name="SCHEDULE___7_INVESTMENTS_1" localSheetId="10">[18]SPIL!#REF!</definedName>
    <definedName name="SCHEDULE___7_INVESTMENTS_1">[18]SPIL!#REF!</definedName>
    <definedName name="SCHEDULE___7_INVESTMENTS_20" localSheetId="9">'[19]Customerwise P&amp;L'!#REF!</definedName>
    <definedName name="SCHEDULE___7_INVESTMENTS_20" localSheetId="15">'[19]Customerwise P&amp;L'!#REF!</definedName>
    <definedName name="SCHEDULE___7_INVESTMENTS_20" localSheetId="10">'[19]Customerwise P&amp;L'!#REF!</definedName>
    <definedName name="SCHEDULE___7_INVESTMENTS_20">'[19]Customerwise P&amp;L'!#REF!</definedName>
    <definedName name="SCHEDULE___7_INVESTMENTS_21" localSheetId="9">'[19]Modelwise P&amp;L'!#REF!</definedName>
    <definedName name="SCHEDULE___7_INVESTMENTS_21" localSheetId="15">'[19]Modelwise P&amp;L'!#REF!</definedName>
    <definedName name="SCHEDULE___7_INVESTMENTS_21" localSheetId="10">'[19]Modelwise P&amp;L'!#REF!</definedName>
    <definedName name="SCHEDULE___7_INVESTMENTS_21">'[19]Modelwise P&amp;L'!#REF!</definedName>
    <definedName name="SCHEDULE___7_INVESTMENTS_3" localSheetId="9">'[20]P &amp; L PLANT-1 UPTO DEC''07'!#REF!</definedName>
    <definedName name="SCHEDULE___7_INVESTMENTS_3" localSheetId="15">'[20]P &amp; L PLANT-1 UPTO DEC''07'!#REF!</definedName>
    <definedName name="SCHEDULE___7_INVESTMENTS_3" localSheetId="10">'[20]P &amp; L PLANT-1 UPTO DEC''07'!#REF!</definedName>
    <definedName name="SCHEDULE___7_INVESTMENTS_3">'[20]P &amp; L PLANT-1 UPTO DEC''07'!#REF!</definedName>
    <definedName name="SCHEDULE___7_INVESTMENTS_6" localSheetId="9">'[21]P &amp; L PLANT-1 UPTO DEC''07'!#REF!</definedName>
    <definedName name="SCHEDULE___7_INVESTMENTS_6" localSheetId="15">'[21]P &amp; L PLANT-1 UPTO DEC''07'!#REF!</definedName>
    <definedName name="SCHEDULE___7_INVESTMENTS_6" localSheetId="10">'[21]P &amp; L PLANT-1 UPTO DEC''07'!#REF!</definedName>
    <definedName name="SCHEDULE___7_INVESTMENTS_6">'[21]P &amp; L PLANT-1 UPTO DEC''07'!#REF!</definedName>
    <definedName name="SCHEDULE___8_CURRENT_ASSETS__LOANS___ADVANCES" localSheetId="9">[2]SPIL!#REF!</definedName>
    <definedName name="SCHEDULE___8_CURRENT_ASSETS__LOANS___ADVANCES" localSheetId="15">[2]SPIL!#REF!</definedName>
    <definedName name="SCHEDULE___8_CURRENT_ASSETS__LOANS___ADVANCES" localSheetId="10">[2]SPIL!#REF!</definedName>
    <definedName name="SCHEDULE___8_CURRENT_ASSETS__LOANS___ADVANCES">[2]SPIL!#REF!</definedName>
    <definedName name="SCHEDULE___8_CURRENT_ASSETS__LOANS___ADVANCES_1" localSheetId="9">[18]SPIL!#REF!</definedName>
    <definedName name="SCHEDULE___8_CURRENT_ASSETS__LOANS___ADVANCES_1" localSheetId="15">[18]SPIL!#REF!</definedName>
    <definedName name="SCHEDULE___8_CURRENT_ASSETS__LOANS___ADVANCES_1" localSheetId="10">[18]SPIL!#REF!</definedName>
    <definedName name="SCHEDULE___8_CURRENT_ASSETS__LOANS___ADVANCES_1">[18]SPIL!#REF!</definedName>
    <definedName name="SCHEDULE___8_CURRENT_ASSETS__LOANS___ADVANCES_20" localSheetId="9">'[19]Customerwise P&amp;L'!#REF!</definedName>
    <definedName name="SCHEDULE___8_CURRENT_ASSETS__LOANS___ADVANCES_20" localSheetId="15">'[19]Customerwise P&amp;L'!#REF!</definedName>
    <definedName name="SCHEDULE___8_CURRENT_ASSETS__LOANS___ADVANCES_20" localSheetId="10">'[19]Customerwise P&amp;L'!#REF!</definedName>
    <definedName name="SCHEDULE___8_CURRENT_ASSETS__LOANS___ADVANCES_20">'[19]Customerwise P&amp;L'!#REF!</definedName>
    <definedName name="SCHEDULE___8_CURRENT_ASSETS__LOANS___ADVANCES_21" localSheetId="9">'[19]Modelwise P&amp;L'!#REF!</definedName>
    <definedName name="SCHEDULE___8_CURRENT_ASSETS__LOANS___ADVANCES_21" localSheetId="15">'[19]Modelwise P&amp;L'!#REF!</definedName>
    <definedName name="SCHEDULE___8_CURRENT_ASSETS__LOANS___ADVANCES_21" localSheetId="10">'[19]Modelwise P&amp;L'!#REF!</definedName>
    <definedName name="SCHEDULE___8_CURRENT_ASSETS__LOANS___ADVANCES_21">'[19]Modelwise P&amp;L'!#REF!</definedName>
    <definedName name="SCHEDULE___8_CURRENT_ASSETS__LOANS___ADVANCES_3" localSheetId="9">'[20]P &amp; L PLANT-1 UPTO DEC''07'!#REF!</definedName>
    <definedName name="SCHEDULE___8_CURRENT_ASSETS__LOANS___ADVANCES_3" localSheetId="15">'[20]P &amp; L PLANT-1 UPTO DEC''07'!#REF!</definedName>
    <definedName name="SCHEDULE___8_CURRENT_ASSETS__LOANS___ADVANCES_3" localSheetId="10">'[20]P &amp; L PLANT-1 UPTO DEC''07'!#REF!</definedName>
    <definedName name="SCHEDULE___8_CURRENT_ASSETS__LOANS___ADVANCES_3">'[20]P &amp; L PLANT-1 UPTO DEC''07'!#REF!</definedName>
    <definedName name="SCHEDULE___8_CURRENT_ASSETS__LOANS___ADVANCES_6" localSheetId="9">'[21]P &amp; L PLANT-1 UPTO DEC''07'!#REF!</definedName>
    <definedName name="SCHEDULE___8_CURRENT_ASSETS__LOANS___ADVANCES_6" localSheetId="15">'[21]P &amp; L PLANT-1 UPTO DEC''07'!#REF!</definedName>
    <definedName name="SCHEDULE___8_CURRENT_ASSETS__LOANS___ADVANCES_6" localSheetId="10">'[21]P &amp; L PLANT-1 UPTO DEC''07'!#REF!</definedName>
    <definedName name="SCHEDULE___8_CURRENT_ASSETS__LOANS___ADVANCES_6">'[21]P &amp; L PLANT-1 UPTO DEC''07'!#REF!</definedName>
    <definedName name="SCHEDULE___9_CURRENT_LIABILITIES_AND_PROVISIONS" localSheetId="9">[2]SPIL!#REF!</definedName>
    <definedName name="SCHEDULE___9_CURRENT_LIABILITIES_AND_PROVISIONS" localSheetId="15">[2]SPIL!#REF!</definedName>
    <definedName name="SCHEDULE___9_CURRENT_LIABILITIES_AND_PROVISIONS" localSheetId="10">[2]SPIL!#REF!</definedName>
    <definedName name="SCHEDULE___9_CURRENT_LIABILITIES_AND_PROVISIONS">[2]SPIL!#REF!</definedName>
    <definedName name="SCHEDULE___9_CURRENT_LIABILITIES_AND_PROVISIONS_1" localSheetId="9">[18]SPIL!#REF!</definedName>
    <definedName name="SCHEDULE___9_CURRENT_LIABILITIES_AND_PROVISIONS_1" localSheetId="15">[18]SPIL!#REF!</definedName>
    <definedName name="SCHEDULE___9_CURRENT_LIABILITIES_AND_PROVISIONS_1" localSheetId="10">[18]SPIL!#REF!</definedName>
    <definedName name="SCHEDULE___9_CURRENT_LIABILITIES_AND_PROVISIONS_1">[18]SPIL!#REF!</definedName>
    <definedName name="SCHEDULE___9_CURRENT_LIABILITIES_AND_PROVISIONS_20" localSheetId="9">'[19]Customerwise P&amp;L'!#REF!</definedName>
    <definedName name="SCHEDULE___9_CURRENT_LIABILITIES_AND_PROVISIONS_20" localSheetId="15">'[19]Customerwise P&amp;L'!#REF!</definedName>
    <definedName name="SCHEDULE___9_CURRENT_LIABILITIES_AND_PROVISIONS_20" localSheetId="10">'[19]Customerwise P&amp;L'!#REF!</definedName>
    <definedName name="SCHEDULE___9_CURRENT_LIABILITIES_AND_PROVISIONS_20">'[19]Customerwise P&amp;L'!#REF!</definedName>
    <definedName name="SCHEDULE___9_CURRENT_LIABILITIES_AND_PROVISIONS_21" localSheetId="9">'[19]Modelwise P&amp;L'!#REF!</definedName>
    <definedName name="SCHEDULE___9_CURRENT_LIABILITIES_AND_PROVISIONS_21" localSheetId="15">'[19]Modelwise P&amp;L'!#REF!</definedName>
    <definedName name="SCHEDULE___9_CURRENT_LIABILITIES_AND_PROVISIONS_21" localSheetId="10">'[19]Modelwise P&amp;L'!#REF!</definedName>
    <definedName name="SCHEDULE___9_CURRENT_LIABILITIES_AND_PROVISIONS_21">'[19]Modelwise P&amp;L'!#REF!</definedName>
    <definedName name="SCHEDULE___9_CURRENT_LIABILITIES_AND_PROVISIONS_3" localSheetId="9">'[20]P &amp; L PLANT-1 UPTO DEC''07'!#REF!</definedName>
    <definedName name="SCHEDULE___9_CURRENT_LIABILITIES_AND_PROVISIONS_3" localSheetId="15">'[20]P &amp; L PLANT-1 UPTO DEC''07'!#REF!</definedName>
    <definedName name="SCHEDULE___9_CURRENT_LIABILITIES_AND_PROVISIONS_3" localSheetId="10">'[20]P &amp; L PLANT-1 UPTO DEC''07'!#REF!</definedName>
    <definedName name="SCHEDULE___9_CURRENT_LIABILITIES_AND_PROVISIONS_3">'[20]P &amp; L PLANT-1 UPTO DEC''07'!#REF!</definedName>
    <definedName name="SCHEDULE___9_CURRENT_LIABILITIES_AND_PROVISIONS_6" localSheetId="9">'[21]P &amp; L PLANT-1 UPTO DEC''07'!#REF!</definedName>
    <definedName name="SCHEDULE___9_CURRENT_LIABILITIES_AND_PROVISIONS_6" localSheetId="15">'[21]P &amp; L PLANT-1 UPTO DEC''07'!#REF!</definedName>
    <definedName name="SCHEDULE___9_CURRENT_LIABILITIES_AND_PROVISIONS_6" localSheetId="10">'[21]P &amp; L PLANT-1 UPTO DEC''07'!#REF!</definedName>
    <definedName name="SCHEDULE___9_CURRENT_LIABILITIES_AND_PROVISIONS_6">'[21]P &amp; L PLANT-1 UPTO DEC''07'!#REF!</definedName>
    <definedName name="Scheduled_Extra_Payments" localSheetId="10">#REF!</definedName>
    <definedName name="Scheduled_Extra_Payments">#REF!</definedName>
    <definedName name="Scheduled_Interest_Rate" localSheetId="10">#REF!</definedName>
    <definedName name="Scheduled_Interest_Rate">#REF!</definedName>
    <definedName name="Scheduled_Monthly_Payment" localSheetId="10">#REF!</definedName>
    <definedName name="Scheduled_Monthly_Payment">#REF!</definedName>
    <definedName name="sheet6">NA()</definedName>
    <definedName name="SLIDE1" localSheetId="10">#REF!</definedName>
    <definedName name="SLIDE1">#REF!</definedName>
    <definedName name="SLIDE2" localSheetId="9">#REF!</definedName>
    <definedName name="SLIDE2" localSheetId="15">#REF!</definedName>
    <definedName name="SLIDE2" localSheetId="10">#REF!</definedName>
    <definedName name="SLIDE2">#REF!</definedName>
    <definedName name="ST1_1" localSheetId="9">[18]SPIL!#REF!</definedName>
    <definedName name="ST1_1" localSheetId="15">[18]SPIL!#REF!</definedName>
    <definedName name="ST1_1" localSheetId="10">[18]SPIL!#REF!</definedName>
    <definedName name="ST1_1">[18]SPIL!#REF!</definedName>
    <definedName name="ST1_20" localSheetId="9">'[19]Customerwise P&amp;L'!#REF!</definedName>
    <definedName name="ST1_20" localSheetId="15">'[19]Customerwise P&amp;L'!#REF!</definedName>
    <definedName name="ST1_20" localSheetId="10">'[19]Customerwise P&amp;L'!#REF!</definedName>
    <definedName name="ST1_20">'[19]Customerwise P&amp;L'!#REF!</definedName>
    <definedName name="ST1_21" localSheetId="9">'[19]Modelwise P&amp;L'!#REF!</definedName>
    <definedName name="ST1_21" localSheetId="15">'[19]Modelwise P&amp;L'!#REF!</definedName>
    <definedName name="ST1_21" localSheetId="10">'[19]Modelwise P&amp;L'!#REF!</definedName>
    <definedName name="ST1_21">'[19]Modelwise P&amp;L'!#REF!</definedName>
    <definedName name="ST1_3" localSheetId="9">'[20]P &amp; L PLANT-1 UPTO DEC''07'!#REF!</definedName>
    <definedName name="ST1_3" localSheetId="15">'[20]P &amp; L PLANT-1 UPTO DEC''07'!#REF!</definedName>
    <definedName name="ST1_3" localSheetId="10">'[20]P &amp; L PLANT-1 UPTO DEC''07'!#REF!</definedName>
    <definedName name="ST1_3">'[20]P &amp; L PLANT-1 UPTO DEC''07'!#REF!</definedName>
    <definedName name="ST1_6" localSheetId="9">'[21]P &amp; L PLANT-1 UPTO DEC''07'!#REF!</definedName>
    <definedName name="ST1_6" localSheetId="15">'[21]P &amp; L PLANT-1 UPTO DEC''07'!#REF!</definedName>
    <definedName name="ST1_6" localSheetId="10">'[21]P &amp; L PLANT-1 UPTO DEC''07'!#REF!</definedName>
    <definedName name="ST1_6">'[21]P &amp; L PLANT-1 UPTO DEC''07'!#REF!</definedName>
    <definedName name="ST2_1" localSheetId="9">[18]SPIL!#REF!</definedName>
    <definedName name="ST2_1" localSheetId="15">[18]SPIL!#REF!</definedName>
    <definedName name="ST2_1" localSheetId="10">[18]SPIL!#REF!</definedName>
    <definedName name="ST2_1">[18]SPIL!#REF!</definedName>
    <definedName name="ST2_20" localSheetId="9">'[19]Customerwise P&amp;L'!#REF!</definedName>
    <definedName name="ST2_20" localSheetId="15">'[19]Customerwise P&amp;L'!#REF!</definedName>
    <definedName name="ST2_20" localSheetId="10">'[19]Customerwise P&amp;L'!#REF!</definedName>
    <definedName name="ST2_20">'[19]Customerwise P&amp;L'!#REF!</definedName>
    <definedName name="ST2_21" localSheetId="9">'[19]Modelwise P&amp;L'!#REF!</definedName>
    <definedName name="ST2_21" localSheetId="15">'[19]Modelwise P&amp;L'!#REF!</definedName>
    <definedName name="ST2_21" localSheetId="10">'[19]Modelwise P&amp;L'!#REF!</definedName>
    <definedName name="ST2_21">'[19]Modelwise P&amp;L'!#REF!</definedName>
    <definedName name="ST2_3" localSheetId="9">'[20]P &amp; L PLANT-1 UPTO DEC''07'!#REF!</definedName>
    <definedName name="ST2_3" localSheetId="15">'[20]P &amp; L PLANT-1 UPTO DEC''07'!#REF!</definedName>
    <definedName name="ST2_3" localSheetId="10">'[20]P &amp; L PLANT-1 UPTO DEC''07'!#REF!</definedName>
    <definedName name="ST2_3">'[20]P &amp; L PLANT-1 UPTO DEC''07'!#REF!</definedName>
    <definedName name="ST2_6" localSheetId="9">'[21]P &amp; L PLANT-1 UPTO DEC''07'!#REF!</definedName>
    <definedName name="ST2_6" localSheetId="15">'[21]P &amp; L PLANT-1 UPTO DEC''07'!#REF!</definedName>
    <definedName name="ST2_6" localSheetId="10">'[21]P &amp; L PLANT-1 UPTO DEC''07'!#REF!</definedName>
    <definedName name="ST2_6">'[21]P &amp; L PLANT-1 UPTO DEC''07'!#REF!</definedName>
    <definedName name="stock" localSheetId="10">#REF!</definedName>
    <definedName name="stock">#REF!</definedName>
    <definedName name="SUMMARY" localSheetId="10">#REF!</definedName>
    <definedName name="SUMMARY">#REF!</definedName>
    <definedName name="Summary_wo_ret" localSheetId="9">#REF!</definedName>
    <definedName name="Summary_wo_ret" localSheetId="15">#REF!</definedName>
    <definedName name="Summary_wo_ret" localSheetId="10">#REF!</definedName>
    <definedName name="Summary_wo_ret">#REF!</definedName>
    <definedName name="TA">NA()</definedName>
    <definedName name="TAX" localSheetId="10">#REF!</definedName>
    <definedName name="TAX">#REF!</definedName>
    <definedName name="TAX_10" localSheetId="10">#REF!</definedName>
    <definedName name="TAX_10">#REF!</definedName>
    <definedName name="TAX_3" localSheetId="10">#REF!</definedName>
    <definedName name="TAX_3">#REF!</definedName>
    <definedName name="TORNA_CRITERI" localSheetId="10">#REF!</definedName>
    <definedName name="TORNA_CRITERI">#REF!</definedName>
    <definedName name="total_cost" localSheetId="10">#REF!</definedName>
    <definedName name="total_cost">#REF!</definedName>
    <definedName name="Total_cost_sum" localSheetId="10">#REF!</definedName>
    <definedName name="Total_cost_sum">#REF!</definedName>
    <definedName name="Total_Interest" localSheetId="10">#REF!</definedName>
    <definedName name="Total_Interest">#REF!</definedName>
    <definedName name="Total_Pay" localSheetId="10">#REF!</definedName>
    <definedName name="Total_Pay">#REF!</definedName>
    <definedName name="tretre" localSheetId="10">#REF!</definedName>
    <definedName name="tretre">#REF!</definedName>
    <definedName name="TROVA" localSheetId="10">#REF!</definedName>
    <definedName name="TROVA">#REF!</definedName>
    <definedName name="UNIT" localSheetId="10">#REF!</definedName>
    <definedName name="UNIT">#REF!</definedName>
    <definedName name="unit_cost" localSheetId="10">#REF!</definedName>
    <definedName name="unit_cost">#REF!</definedName>
    <definedName name="Values_Entered" localSheetId="10">IF('va-ve Weld Shop-p2'!Loan_Amount*'va-ve Weld Shop-p2'!Interest_Rate*'va-ve Weld Shop-p2'!Loan_Years*'va-ve Weld Shop-p2'!Loan_Start&gt;0,1,0)</definedName>
    <definedName name="Values_Entered">IF(Loan_Amount*Interest_Rate*Loan_Years*Loan_Start&gt;0,1,0)</definedName>
    <definedName name="Variance" localSheetId="10">#REF!</definedName>
    <definedName name="Variance">#REF!</definedName>
    <definedName name="variance_total" localSheetId="10">#REF!</definedName>
    <definedName name="variance_total">#REF!</definedName>
    <definedName name="VOL" localSheetId="9">#REF!</definedName>
    <definedName name="VOL" localSheetId="15">#REF!</definedName>
    <definedName name="VOL" localSheetId="10">#REF!</definedName>
    <definedName name="VOL">#REF!</definedName>
    <definedName name="w" localSheetId="9">[14]MOLY!#REF!</definedName>
    <definedName name="w" localSheetId="15">[14]MOLY!#REF!</definedName>
    <definedName name="w" localSheetId="10">[14]MOLY!#REF!</definedName>
    <definedName name="w">[14]MOLY!#REF!</definedName>
    <definedName name="WC" localSheetId="10">#REF!</definedName>
    <definedName name="WC">#REF!</definedName>
    <definedName name="wc_10" localSheetId="10">#REF!</definedName>
    <definedName name="wc_10">#REF!</definedName>
    <definedName name="WC_3" localSheetId="10">#REF!</definedName>
    <definedName name="WC_3">#REF!</definedName>
    <definedName name="wdv_book" localSheetId="10">#REF!</definedName>
    <definedName name="wdv_book">#REF!</definedName>
    <definedName name="wdv_tax" localSheetId="10">#REF!</definedName>
    <definedName name="wdv_tax">#REF!</definedName>
    <definedName name="wegfyweipghsefk" localSheetId="9">#REF!</definedName>
    <definedName name="wegfyweipghsefk" localSheetId="15">#REF!</definedName>
    <definedName name="wegfyweipghsefk" localSheetId="10">#REF!</definedName>
    <definedName name="wegfyweipghsefk">#REF!</definedName>
    <definedName name="WIP_PRESS" localSheetId="10">#REF!</definedName>
    <definedName name="WIP_PRESS">#REF!</definedName>
    <definedName name="WIP_WELD" localSheetId="10">#REF!</definedName>
    <definedName name="WIP_WELD">#REF!</definedName>
    <definedName name="Working" localSheetId="9">#REF!</definedName>
    <definedName name="Working" localSheetId="15">#REF!</definedName>
    <definedName name="Working" localSheetId="10">#REF!</definedName>
    <definedName name="Working">#REF!</definedName>
    <definedName name="Worksheet" localSheetId="10">#REF!</definedName>
    <definedName name="Worksheet">#REF!</definedName>
    <definedName name="YEAR" localSheetId="10">#REF!</definedName>
    <definedName name="YEAR">#REF!</definedName>
    <definedName name="zzz" localSheetId="10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C17" i="2"/>
  <c r="C16"/>
  <c r="C15"/>
  <c r="C14"/>
  <c r="C29"/>
  <c r="F17" i="17"/>
  <c r="G16" i="12"/>
  <c r="C13" i="2"/>
  <c r="C12"/>
  <c r="C11"/>
  <c r="C10"/>
  <c r="C9"/>
  <c r="C8"/>
  <c r="C7"/>
  <c r="C6"/>
  <c r="C5"/>
  <c r="C4"/>
  <c r="U16" i="12"/>
  <c r="P16"/>
  <c r="L16"/>
  <c r="G14"/>
  <c r="G11"/>
  <c r="G12" s="1"/>
  <c r="G10"/>
  <c r="G7"/>
  <c r="G6"/>
  <c r="G5"/>
  <c r="Q16" l="1"/>
  <c r="S16" s="1"/>
  <c r="C28" i="2"/>
  <c r="C27"/>
  <c r="C26"/>
  <c r="C25"/>
  <c r="C24"/>
  <c r="E81" i="13"/>
  <c r="E79"/>
  <c r="E77"/>
  <c r="E75"/>
  <c r="E71"/>
  <c r="E73"/>
  <c r="C21" i="2" l="1"/>
  <c r="C22"/>
  <c r="C23"/>
  <c r="C31" l="1"/>
  <c r="E5" i="13"/>
  <c r="C5"/>
  <c r="E69"/>
  <c r="E67"/>
  <c r="L23" i="2" l="1"/>
  <c r="L22"/>
  <c r="L21"/>
  <c r="N25" i="13" l="1"/>
  <c r="N26" s="1"/>
  <c r="O26" s="1"/>
  <c r="P26" s="1"/>
  <c r="Q26" s="1"/>
  <c r="R26" s="1"/>
  <c r="T26" s="1"/>
  <c r="U26" s="1"/>
  <c r="V26" s="1"/>
  <c r="W26" s="1"/>
  <c r="X26" s="1"/>
  <c r="Y26" s="1"/>
  <c r="Z26" s="1"/>
  <c r="AA26" s="1"/>
  <c r="AB26" s="1"/>
  <c r="AC26" s="1"/>
  <c r="AD26" s="1"/>
  <c r="AE26" s="1"/>
  <c r="AF26" s="1"/>
  <c r="AG26" s="1"/>
  <c r="AH26" s="1"/>
  <c r="H12" i="21"/>
  <c r="H17" s="1"/>
  <c r="H18" s="1"/>
  <c r="H20" s="1"/>
  <c r="H22" s="1"/>
  <c r="D12"/>
  <c r="D15"/>
  <c r="D18" s="1"/>
  <c r="D20" s="1"/>
  <c r="D22" s="1"/>
  <c r="P5"/>
  <c r="L5"/>
  <c r="Q5" s="1"/>
  <c r="S5" s="1"/>
  <c r="T5" s="1"/>
  <c r="P4"/>
  <c r="L4"/>
  <c r="Q4" s="1"/>
  <c r="S4" s="1"/>
  <c r="T4" s="1"/>
  <c r="F30" i="20"/>
  <c r="F29"/>
  <c r="F23"/>
  <c r="F19"/>
  <c r="F21" s="1"/>
  <c r="F22" s="1"/>
  <c r="F14"/>
  <c r="F13"/>
  <c r="F15"/>
  <c r="L7"/>
  <c r="M7" s="1"/>
  <c r="F3"/>
  <c r="F5" s="1"/>
  <c r="T16" i="12"/>
  <c r="Q25"/>
  <c r="BD46" i="13"/>
  <c r="BD44"/>
  <c r="BD42"/>
  <c r="BD40"/>
  <c r="BD38"/>
  <c r="BD36"/>
  <c r="BD30"/>
  <c r="BD24"/>
  <c r="BD12"/>
  <c r="BD10"/>
  <c r="C6" i="9"/>
  <c r="M6" i="10"/>
  <c r="F71"/>
  <c r="F72"/>
  <c r="F73"/>
  <c r="L7" i="17"/>
  <c r="M7" s="1"/>
  <c r="AB58" i="13"/>
  <c r="AB60"/>
  <c r="AB62"/>
  <c r="X86"/>
  <c r="AB86"/>
  <c r="AF86"/>
  <c r="AJ86"/>
  <c r="AN86"/>
  <c r="AR86"/>
  <c r="AV86"/>
  <c r="AZ86"/>
  <c r="L86"/>
  <c r="L85"/>
  <c r="T65"/>
  <c r="X65"/>
  <c r="AB65"/>
  <c r="AF65"/>
  <c r="AJ65"/>
  <c r="AN65"/>
  <c r="AR65"/>
  <c r="AV65"/>
  <c r="AZ65"/>
  <c r="P65"/>
  <c r="L65"/>
  <c r="P64"/>
  <c r="T64"/>
  <c r="L64"/>
  <c r="AR48"/>
  <c r="AV48"/>
  <c r="AZ48"/>
  <c r="C42" i="11"/>
  <c r="E80" i="16"/>
  <c r="Q80" s="1"/>
  <c r="M14" i="18"/>
  <c r="M17"/>
  <c r="L70" i="10"/>
  <c r="L69"/>
  <c r="L68"/>
  <c r="L67"/>
  <c r="L66"/>
  <c r="L65"/>
  <c r="L64"/>
  <c r="L63"/>
  <c r="L62"/>
  <c r="L61"/>
  <c r="L60"/>
  <c r="D74"/>
  <c r="L74" s="1"/>
  <c r="D72"/>
  <c r="D73" s="1"/>
  <c r="L73" s="1"/>
  <c r="D71"/>
  <c r="L71" s="1"/>
  <c r="C17" i="8"/>
  <c r="F17" s="1"/>
  <c r="C16"/>
  <c r="F16"/>
  <c r="C14"/>
  <c r="F14"/>
  <c r="C12"/>
  <c r="C11"/>
  <c r="F11" s="1"/>
  <c r="C9"/>
  <c r="F9"/>
  <c r="C8"/>
  <c r="C7"/>
  <c r="F7" s="1"/>
  <c r="C6"/>
  <c r="C5"/>
  <c r="C4"/>
  <c r="AC33" i="18"/>
  <c r="L30"/>
  <c r="J30"/>
  <c r="M30" s="1"/>
  <c r="N30" s="1"/>
  <c r="O30" s="1"/>
  <c r="H30"/>
  <c r="I30" s="1"/>
  <c r="F30"/>
  <c r="L27"/>
  <c r="J27"/>
  <c r="M27"/>
  <c r="F27"/>
  <c r="H27" s="1"/>
  <c r="I27" s="1"/>
  <c r="M25"/>
  <c r="I25"/>
  <c r="K25" s="1"/>
  <c r="H25"/>
  <c r="N25"/>
  <c r="Y25" s="1"/>
  <c r="Z25" s="1"/>
  <c r="AC24"/>
  <c r="M23"/>
  <c r="N23" s="1"/>
  <c r="H23"/>
  <c r="I23" s="1"/>
  <c r="K23" s="1"/>
  <c r="AC22"/>
  <c r="M21"/>
  <c r="H21"/>
  <c r="I21" s="1"/>
  <c r="K21" s="1"/>
  <c r="H20"/>
  <c r="I20" s="1"/>
  <c r="K20" s="1"/>
  <c r="K19"/>
  <c r="K18"/>
  <c r="H18"/>
  <c r="H17"/>
  <c r="H19" s="1"/>
  <c r="I17" s="1"/>
  <c r="K17" s="1"/>
  <c r="I16"/>
  <c r="K16" s="1"/>
  <c r="H16"/>
  <c r="AC15"/>
  <c r="F14"/>
  <c r="H14" s="1"/>
  <c r="I14" s="1"/>
  <c r="K14" s="1"/>
  <c r="K13"/>
  <c r="K12"/>
  <c r="H12"/>
  <c r="M11"/>
  <c r="H11"/>
  <c r="H13" s="1"/>
  <c r="I11" s="1"/>
  <c r="K11" s="1"/>
  <c r="AC10"/>
  <c r="M9"/>
  <c r="F9"/>
  <c r="H9" s="1"/>
  <c r="I9" s="1"/>
  <c r="K9" s="1"/>
  <c r="R8"/>
  <c r="M7"/>
  <c r="F7"/>
  <c r="H7" s="1"/>
  <c r="H5"/>
  <c r="M4"/>
  <c r="H4"/>
  <c r="H6" s="1"/>
  <c r="I4" s="1"/>
  <c r="K4" s="1"/>
  <c r="O25"/>
  <c r="D40" i="8"/>
  <c r="D41"/>
  <c r="D39"/>
  <c r="C41"/>
  <c r="C39"/>
  <c r="C37"/>
  <c r="P82" i="16"/>
  <c r="O82"/>
  <c r="N82"/>
  <c r="F30" i="17"/>
  <c r="F29"/>
  <c r="F31"/>
  <c r="F19"/>
  <c r="F21" s="1"/>
  <c r="F22" s="1"/>
  <c r="F14"/>
  <c r="F13"/>
  <c r="F3"/>
  <c r="F5" s="1"/>
  <c r="E92" i="16"/>
  <c r="L92" s="1"/>
  <c r="E90"/>
  <c r="P90" s="1"/>
  <c r="Q90" s="1"/>
  <c r="R90" s="1"/>
  <c r="S90" s="1"/>
  <c r="T90" s="1"/>
  <c r="E88"/>
  <c r="L88" s="1"/>
  <c r="E86"/>
  <c r="L86" s="1"/>
  <c r="E85"/>
  <c r="E84"/>
  <c r="Q69"/>
  <c r="R69" s="1"/>
  <c r="S69" s="1"/>
  <c r="T69" s="1"/>
  <c r="U69" s="1"/>
  <c r="V69" s="1"/>
  <c r="W69" s="1"/>
  <c r="E67"/>
  <c r="Q67"/>
  <c r="R67" s="1"/>
  <c r="S67" s="1"/>
  <c r="T67" s="1"/>
  <c r="U67" s="1"/>
  <c r="V67" s="1"/>
  <c r="W67" s="1"/>
  <c r="E65"/>
  <c r="P65" s="1"/>
  <c r="Q65" s="1"/>
  <c r="R65" s="1"/>
  <c r="E63"/>
  <c r="E61"/>
  <c r="P61" s="1"/>
  <c r="Q61" s="1"/>
  <c r="R61" s="1"/>
  <c r="S61" s="1"/>
  <c r="T61" s="1"/>
  <c r="U61" s="1"/>
  <c r="V61" s="1"/>
  <c r="W61" s="1"/>
  <c r="E59"/>
  <c r="P59" s="1"/>
  <c r="Q59" s="1"/>
  <c r="R59" s="1"/>
  <c r="S59" s="1"/>
  <c r="T59" s="1"/>
  <c r="U59" s="1"/>
  <c r="V59" s="1"/>
  <c r="W59" s="1"/>
  <c r="E57"/>
  <c r="P57" s="1"/>
  <c r="Q57" s="1"/>
  <c r="R57" s="1"/>
  <c r="E55"/>
  <c r="Q55" s="1"/>
  <c r="R55" s="1"/>
  <c r="S55" s="1"/>
  <c r="T55" s="1"/>
  <c r="U55" s="1"/>
  <c r="V55" s="1"/>
  <c r="W55" s="1"/>
  <c r="E53"/>
  <c r="E51"/>
  <c r="E49"/>
  <c r="E47"/>
  <c r="P47" s="1"/>
  <c r="Q47" s="1"/>
  <c r="R47" s="1"/>
  <c r="S47" s="1"/>
  <c r="T47" s="1"/>
  <c r="U47" s="1"/>
  <c r="V47" s="1"/>
  <c r="W47" s="1"/>
  <c r="E45"/>
  <c r="O45" s="1"/>
  <c r="P45" s="1"/>
  <c r="E43"/>
  <c r="P43" s="1"/>
  <c r="Q43" s="1"/>
  <c r="R43" s="1"/>
  <c r="S43" s="1"/>
  <c r="T43" s="1"/>
  <c r="U43" s="1"/>
  <c r="V43" s="1"/>
  <c r="W43" s="1"/>
  <c r="E41"/>
  <c r="O41" s="1"/>
  <c r="P41" s="1"/>
  <c r="Q41" s="1"/>
  <c r="R41" s="1"/>
  <c r="S41" s="1"/>
  <c r="T41" s="1"/>
  <c r="U41" s="1"/>
  <c r="V41" s="1"/>
  <c r="W41" s="1"/>
  <c r="E37"/>
  <c r="O37" s="1"/>
  <c r="P37" s="1"/>
  <c r="Q37" s="1"/>
  <c r="R37" s="1"/>
  <c r="S37" s="1"/>
  <c r="T37" s="1"/>
  <c r="U37" s="1"/>
  <c r="V37" s="1"/>
  <c r="W37" s="1"/>
  <c r="E35"/>
  <c r="O35" s="1"/>
  <c r="P35" s="1"/>
  <c r="Q35" s="1"/>
  <c r="R35" s="1"/>
  <c r="S35" s="1"/>
  <c r="T35" s="1"/>
  <c r="U35" s="1"/>
  <c r="V35" s="1"/>
  <c r="W35" s="1"/>
  <c r="E33"/>
  <c r="O33" s="1"/>
  <c r="P33" s="1"/>
  <c r="Q33" s="1"/>
  <c r="R33" s="1"/>
  <c r="S33" s="1"/>
  <c r="T33" s="1"/>
  <c r="U33" s="1"/>
  <c r="V33" s="1"/>
  <c r="W33" s="1"/>
  <c r="E31"/>
  <c r="O31" s="1"/>
  <c r="P31" s="1"/>
  <c r="E29"/>
  <c r="O29" s="1"/>
  <c r="P29" s="1"/>
  <c r="Q29" s="1"/>
  <c r="R29" s="1"/>
  <c r="S29" s="1"/>
  <c r="T29" s="1"/>
  <c r="U29" s="1"/>
  <c r="V29" s="1"/>
  <c r="W29" s="1"/>
  <c r="E27"/>
  <c r="M27" s="1"/>
  <c r="N27" s="1"/>
  <c r="O27" s="1"/>
  <c r="P27" s="1"/>
  <c r="Q27" s="1"/>
  <c r="R27" s="1"/>
  <c r="S27" s="1"/>
  <c r="T27" s="1"/>
  <c r="U27" s="1"/>
  <c r="V27" s="1"/>
  <c r="W27" s="1"/>
  <c r="E25"/>
  <c r="L25" s="1"/>
  <c r="M25" s="1"/>
  <c r="N25" s="1"/>
  <c r="O25" s="1"/>
  <c r="P25" s="1"/>
  <c r="Q25" s="1"/>
  <c r="R25" s="1"/>
  <c r="S25" s="1"/>
  <c r="T25" s="1"/>
  <c r="U25" s="1"/>
  <c r="V25" s="1"/>
  <c r="W25" s="1"/>
  <c r="E23"/>
  <c r="L23"/>
  <c r="M23" s="1"/>
  <c r="N23" s="1"/>
  <c r="O23" s="1"/>
  <c r="P23" s="1"/>
  <c r="Q23" s="1"/>
  <c r="R23" s="1"/>
  <c r="S23" s="1"/>
  <c r="T23" s="1"/>
  <c r="U23" s="1"/>
  <c r="V23" s="1"/>
  <c r="W23" s="1"/>
  <c r="E21"/>
  <c r="L21" s="1"/>
  <c r="M21" s="1"/>
  <c r="N21" s="1"/>
  <c r="O21" s="1"/>
  <c r="P21" s="1"/>
  <c r="Q21" s="1"/>
  <c r="R21" s="1"/>
  <c r="S21" s="1"/>
  <c r="T21" s="1"/>
  <c r="U21" s="1"/>
  <c r="V21" s="1"/>
  <c r="W21" s="1"/>
  <c r="E19"/>
  <c r="N19" s="1"/>
  <c r="O19" s="1"/>
  <c r="P19" s="1"/>
  <c r="Q19" s="1"/>
  <c r="R19" s="1"/>
  <c r="S19" s="1"/>
  <c r="T19" s="1"/>
  <c r="U19" s="1"/>
  <c r="V19" s="1"/>
  <c r="W19" s="1"/>
  <c r="E17"/>
  <c r="M17" s="1"/>
  <c r="N17" s="1"/>
  <c r="O17" s="1"/>
  <c r="P17" s="1"/>
  <c r="Q17" s="1"/>
  <c r="R17" s="1"/>
  <c r="S17" s="1"/>
  <c r="T17" s="1"/>
  <c r="U17" s="1"/>
  <c r="V17" s="1"/>
  <c r="W17" s="1"/>
  <c r="E13"/>
  <c r="L13" s="1"/>
  <c r="M13" s="1"/>
  <c r="N13" s="1"/>
  <c r="O13" s="1"/>
  <c r="P13" s="1"/>
  <c r="Q13" s="1"/>
  <c r="R13" s="1"/>
  <c r="S13" s="1"/>
  <c r="T13" s="1"/>
  <c r="U13" s="1"/>
  <c r="V13" s="1"/>
  <c r="W13" s="1"/>
  <c r="E11"/>
  <c r="L11" s="1"/>
  <c r="M11" s="1"/>
  <c r="N11" s="1"/>
  <c r="O11" s="1"/>
  <c r="P11" s="1"/>
  <c r="Q11" s="1"/>
  <c r="R11" s="1"/>
  <c r="S11" s="1"/>
  <c r="T11" s="1"/>
  <c r="U11" s="1"/>
  <c r="V11" s="1"/>
  <c r="W11" s="1"/>
  <c r="E9"/>
  <c r="L9"/>
  <c r="M9" s="1"/>
  <c r="N9" s="1"/>
  <c r="O9" s="1"/>
  <c r="P9" s="1"/>
  <c r="Q9" s="1"/>
  <c r="R9" s="1"/>
  <c r="S9" s="1"/>
  <c r="T9" s="1"/>
  <c r="U9" s="1"/>
  <c r="V9" s="1"/>
  <c r="W9" s="1"/>
  <c r="E7"/>
  <c r="L7" s="1"/>
  <c r="E5"/>
  <c r="N5" s="1"/>
  <c r="O5" s="1"/>
  <c r="Q53"/>
  <c r="X52"/>
  <c r="Q51"/>
  <c r="R51" s="1"/>
  <c r="O49"/>
  <c r="P49" s="1"/>
  <c r="Q49" s="1"/>
  <c r="R49" s="1"/>
  <c r="S49" s="1"/>
  <c r="T49" s="1"/>
  <c r="U49" s="1"/>
  <c r="V49" s="1"/>
  <c r="W49" s="1"/>
  <c r="U39"/>
  <c r="X20"/>
  <c r="N15"/>
  <c r="O15" s="1"/>
  <c r="P15" s="1"/>
  <c r="Q15" s="1"/>
  <c r="R15" s="1"/>
  <c r="S15" s="1"/>
  <c r="T15" s="1"/>
  <c r="U15" s="1"/>
  <c r="V15" s="1"/>
  <c r="W15" s="1"/>
  <c r="E53" i="11"/>
  <c r="E52"/>
  <c r="E51"/>
  <c r="C53"/>
  <c r="E98" i="16" s="1"/>
  <c r="O98" s="1"/>
  <c r="C52" i="11"/>
  <c r="E96" i="16" s="1"/>
  <c r="O96" s="1"/>
  <c r="C51" i="11"/>
  <c r="E94" i="16" s="1"/>
  <c r="L94" s="1"/>
  <c r="M94" s="1"/>
  <c r="H28" i="15"/>
  <c r="G28"/>
  <c r="E28"/>
  <c r="C28"/>
  <c r="D17"/>
  <c r="F17" s="1"/>
  <c r="D7"/>
  <c r="D52" i="11" s="1"/>
  <c r="D6" i="15"/>
  <c r="D28" s="1"/>
  <c r="Q45" i="16"/>
  <c r="R45" s="1"/>
  <c r="S45" s="1"/>
  <c r="T45" s="1"/>
  <c r="U45" s="1"/>
  <c r="V45" s="1"/>
  <c r="W45" s="1"/>
  <c r="R53"/>
  <c r="S53" s="1"/>
  <c r="T53" s="1"/>
  <c r="U53" s="1"/>
  <c r="V53" s="1"/>
  <c r="W53" s="1"/>
  <c r="X58"/>
  <c r="J58" s="1"/>
  <c r="V39"/>
  <c r="W39" s="1"/>
  <c r="X26"/>
  <c r="J26" s="1"/>
  <c r="F6" i="15"/>
  <c r="F36" i="11"/>
  <c r="F4" i="8"/>
  <c r="E35"/>
  <c r="I9" i="9" s="1"/>
  <c r="F34" i="8"/>
  <c r="F33"/>
  <c r="F32"/>
  <c r="F31"/>
  <c r="F30"/>
  <c r="F29"/>
  <c r="G21" i="9"/>
  <c r="G20"/>
  <c r="F15"/>
  <c r="F16"/>
  <c r="F14"/>
  <c r="F17" s="1"/>
  <c r="F10"/>
  <c r="F9"/>
  <c r="C40" i="8"/>
  <c r="F40" s="1"/>
  <c r="F39"/>
  <c r="C38"/>
  <c r="F38" s="1"/>
  <c r="F37"/>
  <c r="F27"/>
  <c r="F26"/>
  <c r="F22"/>
  <c r="F18"/>
  <c r="F10"/>
  <c r="F6"/>
  <c r="C50" i="11"/>
  <c r="C49"/>
  <c r="C48"/>
  <c r="C47"/>
  <c r="D47" s="1"/>
  <c r="C46"/>
  <c r="C45"/>
  <c r="C41"/>
  <c r="E78" i="16" s="1"/>
  <c r="Q78" s="1"/>
  <c r="C40" i="11"/>
  <c r="C39"/>
  <c r="E74" i="16" s="1"/>
  <c r="Q74" s="1"/>
  <c r="C34" i="11"/>
  <c r="D34" s="1"/>
  <c r="F34" s="1"/>
  <c r="D35"/>
  <c r="D17"/>
  <c r="C35"/>
  <c r="C33"/>
  <c r="D33" s="1"/>
  <c r="F33" s="1"/>
  <c r="C32"/>
  <c r="C31"/>
  <c r="C30"/>
  <c r="C29"/>
  <c r="D29" s="1"/>
  <c r="F29" s="1"/>
  <c r="C28"/>
  <c r="C27"/>
  <c r="D27" s="1"/>
  <c r="C26"/>
  <c r="C25"/>
  <c r="D25" s="1"/>
  <c r="F25" s="1"/>
  <c r="C24"/>
  <c r="C23"/>
  <c r="D23" s="1"/>
  <c r="F23" s="1"/>
  <c r="C22"/>
  <c r="C20"/>
  <c r="F20" s="1"/>
  <c r="C19"/>
  <c r="C18"/>
  <c r="F18" s="1"/>
  <c r="C17"/>
  <c r="C16"/>
  <c r="D16" s="1"/>
  <c r="F16" s="1"/>
  <c r="C15"/>
  <c r="C14"/>
  <c r="E14" s="1"/>
  <c r="C13"/>
  <c r="C12"/>
  <c r="D12" s="1"/>
  <c r="F12" s="1"/>
  <c r="C11"/>
  <c r="C10"/>
  <c r="E10" s="1"/>
  <c r="C8"/>
  <c r="C7"/>
  <c r="D7" s="1"/>
  <c r="F7" s="1"/>
  <c r="C6"/>
  <c r="C5"/>
  <c r="E5" s="1"/>
  <c r="C4"/>
  <c r="C37"/>
  <c r="H9" i="14"/>
  <c r="AR31" i="13"/>
  <c r="AS31" s="1"/>
  <c r="AT31" s="1"/>
  <c r="AU31" s="1"/>
  <c r="AV31" s="1"/>
  <c r="AW31" s="1"/>
  <c r="AX31" s="1"/>
  <c r="AY31" s="1"/>
  <c r="AZ31" s="1"/>
  <c r="AR11"/>
  <c r="AS11" s="1"/>
  <c r="AT11" s="1"/>
  <c r="F74" i="10"/>
  <c r="F70"/>
  <c r="H70" s="1"/>
  <c r="J70" s="1"/>
  <c r="U14" i="12"/>
  <c r="P14"/>
  <c r="L14"/>
  <c r="U13"/>
  <c r="P13"/>
  <c r="F63" i="10" s="1"/>
  <c r="H63" s="1"/>
  <c r="J63" s="1"/>
  <c r="L13" i="12"/>
  <c r="U12"/>
  <c r="P12"/>
  <c r="L12"/>
  <c r="U11"/>
  <c r="P11"/>
  <c r="L11"/>
  <c r="F68" i="10"/>
  <c r="G13" i="12"/>
  <c r="U10"/>
  <c r="P10"/>
  <c r="F64" i="10" s="1"/>
  <c r="H64" s="1"/>
  <c r="J64" s="1"/>
  <c r="L10" i="12"/>
  <c r="U9"/>
  <c r="P9"/>
  <c r="L9"/>
  <c r="U8"/>
  <c r="R8"/>
  <c r="P8"/>
  <c r="L8"/>
  <c r="U7"/>
  <c r="P7"/>
  <c r="L7"/>
  <c r="U6"/>
  <c r="P6"/>
  <c r="F66" i="10" s="1"/>
  <c r="H66" s="1"/>
  <c r="J66" s="1"/>
  <c r="L6" i="12"/>
  <c r="U5"/>
  <c r="P5"/>
  <c r="F65" i="10" s="1"/>
  <c r="H65" s="1"/>
  <c r="J65" s="1"/>
  <c r="L5" i="12"/>
  <c r="F35" i="11"/>
  <c r="D50"/>
  <c r="F50" s="1"/>
  <c r="D32"/>
  <c r="F32" s="1"/>
  <c r="D31"/>
  <c r="D48"/>
  <c r="E48"/>
  <c r="E4"/>
  <c r="F48"/>
  <c r="F46"/>
  <c r="E43"/>
  <c r="I16" i="9" s="1"/>
  <c r="D41" i="11"/>
  <c r="F41"/>
  <c r="D39"/>
  <c r="F30"/>
  <c r="D28"/>
  <c r="F28"/>
  <c r="F26"/>
  <c r="D24"/>
  <c r="F24" s="1"/>
  <c r="D22"/>
  <c r="F22" s="1"/>
  <c r="F21"/>
  <c r="D20"/>
  <c r="D19"/>
  <c r="F19" s="1"/>
  <c r="D18"/>
  <c r="F17"/>
  <c r="E15"/>
  <c r="D15"/>
  <c r="F15"/>
  <c r="D14"/>
  <c r="F14" s="1"/>
  <c r="E13"/>
  <c r="D13"/>
  <c r="F13" s="1"/>
  <c r="E12"/>
  <c r="D11"/>
  <c r="F11" s="1"/>
  <c r="D10"/>
  <c r="F9"/>
  <c r="E8"/>
  <c r="D8"/>
  <c r="F8" s="1"/>
  <c r="E7"/>
  <c r="E6"/>
  <c r="D6"/>
  <c r="F6"/>
  <c r="D5"/>
  <c r="F5" s="1"/>
  <c r="D4"/>
  <c r="F39"/>
  <c r="D59" i="10"/>
  <c r="H44"/>
  <c r="F62" s="1"/>
  <c r="H62" s="1"/>
  <c r="J62" s="1"/>
  <c r="D44"/>
  <c r="D47" s="1"/>
  <c r="D50" s="1"/>
  <c r="D52" s="1"/>
  <c r="D54" s="1"/>
  <c r="D30"/>
  <c r="H25"/>
  <c r="H30" s="1"/>
  <c r="H32" s="1"/>
  <c r="H34" s="1"/>
  <c r="H36" s="1"/>
  <c r="D25"/>
  <c r="D28" s="1"/>
  <c r="D32" s="1"/>
  <c r="D34" s="1"/>
  <c r="D36" s="1"/>
  <c r="D12"/>
  <c r="H7"/>
  <c r="H12" s="1"/>
  <c r="H13" s="1"/>
  <c r="H15" s="1"/>
  <c r="H17" s="1"/>
  <c r="D7"/>
  <c r="D10" s="1"/>
  <c r="E41" i="8"/>
  <c r="F41" s="1"/>
  <c r="E40"/>
  <c r="E38"/>
  <c r="E43" s="1"/>
  <c r="I10" i="9" s="1"/>
  <c r="D17"/>
  <c r="E17"/>
  <c r="C17"/>
  <c r="E11"/>
  <c r="D11"/>
  <c r="C11"/>
  <c r="F11" s="1"/>
  <c r="F28" i="8"/>
  <c r="F25"/>
  <c r="F24"/>
  <c r="F23"/>
  <c r="F21"/>
  <c r="F20"/>
  <c r="F19"/>
  <c r="F15"/>
  <c r="F13"/>
  <c r="F12"/>
  <c r="F8"/>
  <c r="A5"/>
  <c r="A6" s="1"/>
  <c r="A7" s="1"/>
  <c r="A8" s="1"/>
  <c r="A9" s="1"/>
  <c r="A10" s="1"/>
  <c r="A11" s="1"/>
  <c r="A12" s="1"/>
  <c r="A13" s="1"/>
  <c r="A14" s="1"/>
  <c r="A15" s="1"/>
  <c r="A16" s="1"/>
  <c r="A17" s="1"/>
  <c r="N18" i="5"/>
  <c r="K18"/>
  <c r="G18"/>
  <c r="E18"/>
  <c r="L16"/>
  <c r="F16"/>
  <c r="M16" s="1"/>
  <c r="L15"/>
  <c r="F15"/>
  <c r="M15"/>
  <c r="J14"/>
  <c r="I14"/>
  <c r="L14" s="1"/>
  <c r="C14"/>
  <c r="M13"/>
  <c r="I13"/>
  <c r="L13" s="1"/>
  <c r="C13"/>
  <c r="L12"/>
  <c r="F12"/>
  <c r="M12" s="1"/>
  <c r="L11"/>
  <c r="J11"/>
  <c r="F11"/>
  <c r="L10"/>
  <c r="F10"/>
  <c r="M10"/>
  <c r="L8"/>
  <c r="L7"/>
  <c r="J7"/>
  <c r="J18"/>
  <c r="F7"/>
  <c r="M7"/>
  <c r="L6"/>
  <c r="F6"/>
  <c r="F18" s="1"/>
  <c r="C6"/>
  <c r="C18" s="1"/>
  <c r="I18"/>
  <c r="J20" s="1"/>
  <c r="M14"/>
  <c r="K19"/>
  <c r="M6"/>
  <c r="F4" i="11"/>
  <c r="D49"/>
  <c r="F49" s="1"/>
  <c r="E50"/>
  <c r="X45" i="16"/>
  <c r="J45" s="1"/>
  <c r="X61"/>
  <c r="J61" s="1"/>
  <c r="X53"/>
  <c r="J53" s="1"/>
  <c r="X47"/>
  <c r="J47" s="1"/>
  <c r="X43"/>
  <c r="J43" s="1"/>
  <c r="X67"/>
  <c r="J67" s="1"/>
  <c r="X59"/>
  <c r="J59" s="1"/>
  <c r="X55"/>
  <c r="J55" s="1"/>
  <c r="X49"/>
  <c r="J49" s="1"/>
  <c r="X41"/>
  <c r="J41" s="1"/>
  <c r="S57"/>
  <c r="T57" s="1"/>
  <c r="U57" s="1"/>
  <c r="X39"/>
  <c r="J39" s="1"/>
  <c r="X33"/>
  <c r="J33" s="1"/>
  <c r="X35"/>
  <c r="J35" s="1"/>
  <c r="X27"/>
  <c r="J27" s="1"/>
  <c r="X37"/>
  <c r="J37" s="1"/>
  <c r="X29"/>
  <c r="J29" s="1"/>
  <c r="X21"/>
  <c r="J21" s="1"/>
  <c r="X19"/>
  <c r="J19" s="1"/>
  <c r="X11"/>
  <c r="J11" s="1"/>
  <c r="X17"/>
  <c r="J17" s="1"/>
  <c r="X9"/>
  <c r="J9" s="1"/>
  <c r="X25"/>
  <c r="J25" s="1"/>
  <c r="F23" i="17"/>
  <c r="D35" i="8"/>
  <c r="H9" i="9" s="1"/>
  <c r="AC25" i="13"/>
  <c r="AD25" s="1"/>
  <c r="AE25" s="1"/>
  <c r="AF25" s="1"/>
  <c r="AG25" s="1"/>
  <c r="AH25" s="1"/>
  <c r="AI25" s="1"/>
  <c r="AJ25" s="1"/>
  <c r="AK25" s="1"/>
  <c r="AL25" s="1"/>
  <c r="AM25" s="1"/>
  <c r="AN25" s="1"/>
  <c r="AO25" s="1"/>
  <c r="AP25" s="1"/>
  <c r="AQ25" s="1"/>
  <c r="AD31"/>
  <c r="AE31" s="1"/>
  <c r="AF31" s="1"/>
  <c r="AG31" s="1"/>
  <c r="AH31" s="1"/>
  <c r="AI31" s="1"/>
  <c r="AJ31" s="1"/>
  <c r="AK31" s="1"/>
  <c r="AL31" s="1"/>
  <c r="AM31" s="1"/>
  <c r="AN31" s="1"/>
  <c r="AO31" s="1"/>
  <c r="AP31" s="1"/>
  <c r="AQ31" s="1"/>
  <c r="U33"/>
  <c r="V33"/>
  <c r="W33" s="1"/>
  <c r="F60" i="10"/>
  <c r="H60" s="1"/>
  <c r="J60" s="1"/>
  <c r="F61"/>
  <c r="H61" s="1"/>
  <c r="J61" s="1"/>
  <c r="H45"/>
  <c r="H46" s="1"/>
  <c r="H53" s="1"/>
  <c r="H55" s="1"/>
  <c r="F42" i="11"/>
  <c r="L95" i="16"/>
  <c r="R74"/>
  <c r="S74" s="1"/>
  <c r="T74" s="1"/>
  <c r="R78"/>
  <c r="S78" s="1"/>
  <c r="T78" s="1"/>
  <c r="U78" s="1"/>
  <c r="V78" s="1"/>
  <c r="W78" s="1"/>
  <c r="P96"/>
  <c r="Q96" s="1"/>
  <c r="R96" s="1"/>
  <c r="P98"/>
  <c r="Q98" s="1"/>
  <c r="R98" s="1"/>
  <c r="S98" s="1"/>
  <c r="T98" s="1"/>
  <c r="U98" s="1"/>
  <c r="V98" s="1"/>
  <c r="W98" s="1"/>
  <c r="R80"/>
  <c r="S80" s="1"/>
  <c r="AC60" i="13"/>
  <c r="AC58"/>
  <c r="AD58" s="1"/>
  <c r="AC62"/>
  <c r="F67" i="10"/>
  <c r="H67" s="1"/>
  <c r="J67" s="1"/>
  <c r="AR13" i="13"/>
  <c r="AS13" s="1"/>
  <c r="AT13" s="1"/>
  <c r="AU13" s="1"/>
  <c r="AV13" s="1"/>
  <c r="AW13" s="1"/>
  <c r="AX13" s="1"/>
  <c r="AY13" s="1"/>
  <c r="AZ13" s="1"/>
  <c r="T31"/>
  <c r="U31" s="1"/>
  <c r="V31" s="1"/>
  <c r="W31" s="1"/>
  <c r="X31" s="1"/>
  <c r="AR35"/>
  <c r="AS35" s="1"/>
  <c r="AD62"/>
  <c r="AE62"/>
  <c r="AF62" s="1"/>
  <c r="AG62" s="1"/>
  <c r="AD60"/>
  <c r="AE60"/>
  <c r="AF60" s="1"/>
  <c r="AT35"/>
  <c r="AU35" s="1"/>
  <c r="T15"/>
  <c r="AR37"/>
  <c r="AS37" s="1"/>
  <c r="AT37" s="1"/>
  <c r="AR23"/>
  <c r="Q13"/>
  <c r="AR9"/>
  <c r="AH39"/>
  <c r="AI39" s="1"/>
  <c r="AJ39" s="1"/>
  <c r="AK39" s="1"/>
  <c r="AL39" s="1"/>
  <c r="AM39" s="1"/>
  <c r="AN39" s="1"/>
  <c r="AO39" s="1"/>
  <c r="AP39" s="1"/>
  <c r="AQ39" s="1"/>
  <c r="AR39" s="1"/>
  <c r="P85"/>
  <c r="AS9"/>
  <c r="AT9" s="1"/>
  <c r="AU9" s="1"/>
  <c r="U15"/>
  <c r="V15" s="1"/>
  <c r="W15" s="1"/>
  <c r="Q14"/>
  <c r="R13"/>
  <c r="AS23"/>
  <c r="AT23" s="1"/>
  <c r="AU23" s="1"/>
  <c r="R14"/>
  <c r="S14" s="1"/>
  <c r="S13"/>
  <c r="T13" s="1"/>
  <c r="T14"/>
  <c r="U14" s="1"/>
  <c r="V14" s="1"/>
  <c r="W14" s="1"/>
  <c r="X14" s="1"/>
  <c r="Y14" s="1"/>
  <c r="Z14" s="1"/>
  <c r="AA14" s="1"/>
  <c r="AB14" s="1"/>
  <c r="AC14" s="1"/>
  <c r="AD14" s="1"/>
  <c r="AE14" s="1"/>
  <c r="AF14" s="1"/>
  <c r="AG14" s="1"/>
  <c r="AH14" s="1"/>
  <c r="AI14" s="1"/>
  <c r="F24" i="20"/>
  <c r="F25" s="1"/>
  <c r="F27" s="1"/>
  <c r="F28" s="1"/>
  <c r="Q27" i="13"/>
  <c r="G8" i="12"/>
  <c r="G9" s="1"/>
  <c r="O25" i="13"/>
  <c r="AR25"/>
  <c r="AS25" s="1"/>
  <c r="AT25" s="1"/>
  <c r="AU25" s="1"/>
  <c r="AV25" s="1"/>
  <c r="AW25" s="1"/>
  <c r="AX25" s="1"/>
  <c r="AY25" s="1"/>
  <c r="AZ25" s="1"/>
  <c r="AB56"/>
  <c r="AC56"/>
  <c r="AD56" s="1"/>
  <c r="AE56" s="1"/>
  <c r="AF56" s="1"/>
  <c r="AG56"/>
  <c r="AH56"/>
  <c r="AI56" s="1"/>
  <c r="AJ56" s="1"/>
  <c r="F7" i="17"/>
  <c r="F6"/>
  <c r="F8" s="1"/>
  <c r="F9" s="1"/>
  <c r="F11" s="1"/>
  <c r="F12" s="1"/>
  <c r="H8" i="10" l="1"/>
  <c r="H9" s="1"/>
  <c r="H16" s="1"/>
  <c r="H18" s="1"/>
  <c r="L72"/>
  <c r="Q5" i="12"/>
  <c r="S5" s="1"/>
  <c r="T5" s="1"/>
  <c r="Q9"/>
  <c r="S9" s="1"/>
  <c r="T9" s="1"/>
  <c r="Q10"/>
  <c r="S10" s="1"/>
  <c r="T10" s="1"/>
  <c r="M95" i="16"/>
  <c r="N94"/>
  <c r="O94" s="1"/>
  <c r="P94" s="1"/>
  <c r="Q94" s="1"/>
  <c r="R94" s="1"/>
  <c r="S94" s="1"/>
  <c r="T94" s="1"/>
  <c r="U94" s="1"/>
  <c r="V94" s="1"/>
  <c r="W94" s="1"/>
  <c r="Q12" i="12"/>
  <c r="S12" s="1"/>
  <c r="T12" s="1"/>
  <c r="Q13"/>
  <c r="S13" s="1"/>
  <c r="T13" s="1"/>
  <c r="Q8"/>
  <c r="S8" s="1"/>
  <c r="T8" s="1"/>
  <c r="F69" i="10"/>
  <c r="H69" s="1"/>
  <c r="J69" s="1"/>
  <c r="H68"/>
  <c r="J68" s="1"/>
  <c r="Q14" i="12"/>
  <c r="S14" s="1"/>
  <c r="T14" s="1"/>
  <c r="F43" i="8"/>
  <c r="S51" i="16"/>
  <c r="T51" s="1"/>
  <c r="U51" s="1"/>
  <c r="V51" s="1"/>
  <c r="W51" s="1"/>
  <c r="X51"/>
  <c r="J51" s="1"/>
  <c r="H56" i="10"/>
  <c r="M56" s="1"/>
  <c r="F20" i="5"/>
  <c r="F19"/>
  <c r="G19"/>
  <c r="J19"/>
  <c r="F31" i="11"/>
  <c r="E76" i="16"/>
  <c r="Q76" s="1"/>
  <c r="C43" i="11"/>
  <c r="G16" i="9" s="1"/>
  <c r="D40" i="11"/>
  <c r="C56"/>
  <c r="G15" i="9" s="1"/>
  <c r="F45" i="11"/>
  <c r="P63" i="16"/>
  <c r="Q63" s="1"/>
  <c r="R63" s="1"/>
  <c r="S63" s="1"/>
  <c r="U63"/>
  <c r="V63" s="1"/>
  <c r="W63" s="1"/>
  <c r="O23" i="18"/>
  <c r="Y23"/>
  <c r="Z23" s="1"/>
  <c r="AA23" s="1"/>
  <c r="AB23" s="1"/>
  <c r="F5" i="8"/>
  <c r="F35" s="1"/>
  <c r="C35"/>
  <c r="G9" i="9" s="1"/>
  <c r="K9" s="1"/>
  <c r="P86" i="13"/>
  <c r="T32"/>
  <c r="U32" s="1"/>
  <c r="V32" s="1"/>
  <c r="W32" s="1"/>
  <c r="X32" s="1"/>
  <c r="Y32" s="1"/>
  <c r="Z32" s="1"/>
  <c r="AA32" s="1"/>
  <c r="AB32" s="1"/>
  <c r="AC32" s="1"/>
  <c r="AD32" s="1"/>
  <c r="AE32" s="1"/>
  <c r="AF32" s="1"/>
  <c r="AG32" s="1"/>
  <c r="AH32" s="1"/>
  <c r="AI32" s="1"/>
  <c r="AJ32" s="1"/>
  <c r="H26" i="10"/>
  <c r="H27" s="1"/>
  <c r="H35" s="1"/>
  <c r="H37" s="1"/>
  <c r="D76"/>
  <c r="D77" s="1"/>
  <c r="M77" s="1"/>
  <c r="H49"/>
  <c r="H50" s="1"/>
  <c r="H52" s="1"/>
  <c r="H54" s="1"/>
  <c r="X69" i="16"/>
  <c r="J69" s="1"/>
  <c r="X23"/>
  <c r="J23" s="1"/>
  <c r="X15"/>
  <c r="J15" s="1"/>
  <c r="X13"/>
  <c r="J13" s="1"/>
  <c r="G14" i="9"/>
  <c r="G17" s="1"/>
  <c r="E47" i="11"/>
  <c r="F47"/>
  <c r="K20" i="5"/>
  <c r="M11"/>
  <c r="M18" s="1"/>
  <c r="L18"/>
  <c r="G20"/>
  <c r="D13" i="10"/>
  <c r="D15" s="1"/>
  <c r="D17" s="1"/>
  <c r="H19" s="1"/>
  <c r="M19" s="1"/>
  <c r="D37" i="11"/>
  <c r="F10"/>
  <c r="F37" s="1"/>
  <c r="F27"/>
  <c r="E37"/>
  <c r="H74" i="10"/>
  <c r="J74" s="1"/>
  <c r="C43" i="8"/>
  <c r="G10" i="9" s="1"/>
  <c r="N27" i="18"/>
  <c r="O27" s="1"/>
  <c r="N7" i="17"/>
  <c r="O7"/>
  <c r="P7" s="1"/>
  <c r="Q7" s="1"/>
  <c r="R7" s="1"/>
  <c r="S7" s="1"/>
  <c r="Q6" i="12"/>
  <c r="S6" s="1"/>
  <c r="T6" s="1"/>
  <c r="Q7"/>
  <c r="S7" s="1"/>
  <c r="T7" s="1"/>
  <c r="Q11"/>
  <c r="S11" s="1"/>
  <c r="T11" s="1"/>
  <c r="F15" i="17"/>
  <c r="F16" s="1"/>
  <c r="D43" i="8"/>
  <c r="H10" i="9" s="1"/>
  <c r="N11" i="18"/>
  <c r="O11" s="1"/>
  <c r="N21"/>
  <c r="H72" i="10"/>
  <c r="J72" s="1"/>
  <c r="BD65" i="13"/>
  <c r="AZ88"/>
  <c r="AR88"/>
  <c r="H71" i="10"/>
  <c r="J71" s="1"/>
  <c r="F31" i="20"/>
  <c r="F32" s="1"/>
  <c r="H13" i="21"/>
  <c r="H14" s="1"/>
  <c r="H21" s="1"/>
  <c r="H23" s="1"/>
  <c r="H24" s="1"/>
  <c r="M24" s="1"/>
  <c r="G4" i="9"/>
  <c r="AE58" i="13"/>
  <c r="AF58" s="1"/>
  <c r="AG58" s="1"/>
  <c r="AH58" s="1"/>
  <c r="AI58" s="1"/>
  <c r="AJ58" s="1"/>
  <c r="AK58" s="1"/>
  <c r="AL58" s="1"/>
  <c r="AM58" s="1"/>
  <c r="AN58" s="1"/>
  <c r="AO58" s="1"/>
  <c r="AP58" s="1"/>
  <c r="AQ58" s="1"/>
  <c r="AR58" s="1"/>
  <c r="AS58" s="1"/>
  <c r="AT58" s="1"/>
  <c r="AU58" s="1"/>
  <c r="AV58" s="1"/>
  <c r="AW58" s="1"/>
  <c r="AX58" s="1"/>
  <c r="AY58" s="1"/>
  <c r="AZ58" s="1"/>
  <c r="BE17"/>
  <c r="BA31"/>
  <c r="BB31" s="1"/>
  <c r="BC31" s="1"/>
  <c r="BE31"/>
  <c r="AI26"/>
  <c r="AJ26" s="1"/>
  <c r="AK26" s="1"/>
  <c r="AL26" s="1"/>
  <c r="AM26" s="1"/>
  <c r="AN26" s="1"/>
  <c r="AO26" s="1"/>
  <c r="AK56"/>
  <c r="AL56" s="1"/>
  <c r="AM56" s="1"/>
  <c r="AN56" s="1"/>
  <c r="AO56" s="1"/>
  <c r="AP56" s="1"/>
  <c r="AQ56" s="1"/>
  <c r="AR56" s="1"/>
  <c r="AS56" s="1"/>
  <c r="AT56" s="1"/>
  <c r="AU56" s="1"/>
  <c r="AV56" s="1"/>
  <c r="AW56" s="1"/>
  <c r="AX56" s="1"/>
  <c r="AY56" s="1"/>
  <c r="AZ56" s="1"/>
  <c r="AJ14"/>
  <c r="AK14" s="1"/>
  <c r="AL14" s="1"/>
  <c r="AM14" s="1"/>
  <c r="AN14" s="1"/>
  <c r="AO14" s="1"/>
  <c r="AK32"/>
  <c r="AL32" s="1"/>
  <c r="AM32" s="1"/>
  <c r="AN32" s="1"/>
  <c r="AO32" s="1"/>
  <c r="AF29"/>
  <c r="U13"/>
  <c r="V13" s="1"/>
  <c r="W13" s="1"/>
  <c r="X13" s="1"/>
  <c r="Y13" s="1"/>
  <c r="Z13" s="1"/>
  <c r="AA13" s="1"/>
  <c r="AB13" s="1"/>
  <c r="AC13" s="1"/>
  <c r="AD13" s="1"/>
  <c r="AE13" s="1"/>
  <c r="AF13" s="1"/>
  <c r="AG13" s="1"/>
  <c r="AH13" s="1"/>
  <c r="AI13" s="1"/>
  <c r="AJ13" s="1"/>
  <c r="AK13" s="1"/>
  <c r="AL13" s="1"/>
  <c r="AM13" s="1"/>
  <c r="AN13" s="1"/>
  <c r="AO13" s="1"/>
  <c r="AP13" s="1"/>
  <c r="AQ13" s="1"/>
  <c r="AU37"/>
  <c r="AV37" s="1"/>
  <c r="AW37" s="1"/>
  <c r="AX37" s="1"/>
  <c r="AY37" s="1"/>
  <c r="AZ37" s="1"/>
  <c r="AV35"/>
  <c r="AW35" s="1"/>
  <c r="AX35" s="1"/>
  <c r="AY35" s="1"/>
  <c r="AZ35" s="1"/>
  <c r="Y31"/>
  <c r="Z31" s="1"/>
  <c r="AA31" s="1"/>
  <c r="AB31" s="1"/>
  <c r="AV45"/>
  <c r="BA25"/>
  <c r="BB25" s="1"/>
  <c r="BC25" s="1"/>
  <c r="BE25"/>
  <c r="P25"/>
  <c r="Q25" s="1"/>
  <c r="R25" s="1"/>
  <c r="S25" s="1"/>
  <c r="T25" s="1"/>
  <c r="U25" s="1"/>
  <c r="V25" s="1"/>
  <c r="W25" s="1"/>
  <c r="X25" s="1"/>
  <c r="Y25" s="1"/>
  <c r="Z25" s="1"/>
  <c r="AA25" s="1"/>
  <c r="Q28"/>
  <c r="R27"/>
  <c r="T86"/>
  <c r="AV23"/>
  <c r="AW23" s="1"/>
  <c r="AX23" s="1"/>
  <c r="AY23" s="1"/>
  <c r="AZ23" s="1"/>
  <c r="X15"/>
  <c r="Y15" s="1"/>
  <c r="Z15" s="1"/>
  <c r="AA15" s="1"/>
  <c r="AB15" s="1"/>
  <c r="AC15" s="1"/>
  <c r="AD15" s="1"/>
  <c r="AE15" s="1"/>
  <c r="AV9"/>
  <c r="AW9" s="1"/>
  <c r="AX9" s="1"/>
  <c r="AY9" s="1"/>
  <c r="AZ9" s="1"/>
  <c r="AS39"/>
  <c r="AT39" s="1"/>
  <c r="AU39" s="1"/>
  <c r="AV39" s="1"/>
  <c r="AW39" s="1"/>
  <c r="AX39" s="1"/>
  <c r="AY39" s="1"/>
  <c r="AZ39" s="1"/>
  <c r="BA39" s="1"/>
  <c r="BB39" s="1"/>
  <c r="BC39" s="1"/>
  <c r="AV43"/>
  <c r="AU11"/>
  <c r="AV11" s="1"/>
  <c r="AW11" s="1"/>
  <c r="AX11" s="1"/>
  <c r="AY11" s="1"/>
  <c r="AZ11" s="1"/>
  <c r="AG60"/>
  <c r="AH60" s="1"/>
  <c r="AI60" s="1"/>
  <c r="AJ60" s="1"/>
  <c r="AK60" s="1"/>
  <c r="AL60" s="1"/>
  <c r="AM60" s="1"/>
  <c r="AN60" s="1"/>
  <c r="AO60" s="1"/>
  <c r="AP60" s="1"/>
  <c r="AQ60" s="1"/>
  <c r="AR60" s="1"/>
  <c r="AS60" s="1"/>
  <c r="AT60" s="1"/>
  <c r="AU60" s="1"/>
  <c r="AV60" s="1"/>
  <c r="AW60" s="1"/>
  <c r="AX60" s="1"/>
  <c r="AY60" s="1"/>
  <c r="AZ60" s="1"/>
  <c r="AH62"/>
  <c r="AI62" s="1"/>
  <c r="AJ62" s="1"/>
  <c r="AK62" s="1"/>
  <c r="AL62" s="1"/>
  <c r="AM62" s="1"/>
  <c r="AN62" s="1"/>
  <c r="AO62" s="1"/>
  <c r="AP62" s="1"/>
  <c r="AQ62" s="1"/>
  <c r="AR62" s="1"/>
  <c r="AS62" s="1"/>
  <c r="AT62" s="1"/>
  <c r="AU62" s="1"/>
  <c r="AV62" s="1"/>
  <c r="AW62" s="1"/>
  <c r="AX62" s="1"/>
  <c r="AY62" s="1"/>
  <c r="AZ62" s="1"/>
  <c r="BE13"/>
  <c r="BA13"/>
  <c r="BB13" s="1"/>
  <c r="BC13" s="1"/>
  <c r="U74" i="16"/>
  <c r="S96"/>
  <c r="T96" s="1"/>
  <c r="U96" s="1"/>
  <c r="V96" s="1"/>
  <c r="W96" s="1"/>
  <c r="X33" i="13"/>
  <c r="Y33" s="1"/>
  <c r="Z33" s="1"/>
  <c r="AA33" s="1"/>
  <c r="AB33" s="1"/>
  <c r="AC33" s="1"/>
  <c r="AD33" s="1"/>
  <c r="AE33" s="1"/>
  <c r="AF33" s="1"/>
  <c r="AG33" s="1"/>
  <c r="AH33" s="1"/>
  <c r="AI33" s="1"/>
  <c r="AJ33" s="1"/>
  <c r="AK33" s="1"/>
  <c r="AL33" s="1"/>
  <c r="AM33" s="1"/>
  <c r="AN33" s="1"/>
  <c r="AO33" s="1"/>
  <c r="AP33" s="1"/>
  <c r="AQ33" s="1"/>
  <c r="AR33" s="1"/>
  <c r="AS33" s="1"/>
  <c r="AT33" s="1"/>
  <c r="AU33" s="1"/>
  <c r="AV33" s="1"/>
  <c r="AW33" s="1"/>
  <c r="AX33" s="1"/>
  <c r="AY33" s="1"/>
  <c r="AZ33" s="1"/>
  <c r="J9" i="9"/>
  <c r="H11"/>
  <c r="T80" i="16"/>
  <c r="U80" s="1"/>
  <c r="V80" s="1"/>
  <c r="W80" s="1"/>
  <c r="AB50" i="13"/>
  <c r="V57" i="16"/>
  <c r="W57" s="1"/>
  <c r="N20" i="5"/>
  <c r="H38" i="10"/>
  <c r="M38" s="1"/>
  <c r="H14" i="9"/>
  <c r="K14" s="1"/>
  <c r="I14"/>
  <c r="S65" i="16"/>
  <c r="T65" s="1"/>
  <c r="U65" s="1"/>
  <c r="V65" s="1"/>
  <c r="W65" s="1"/>
  <c r="L71"/>
  <c r="M7"/>
  <c r="Q31"/>
  <c r="R31" s="1"/>
  <c r="S31" s="1"/>
  <c r="T31" s="1"/>
  <c r="U31" s="1"/>
  <c r="V31" s="1"/>
  <c r="W31" s="1"/>
  <c r="U90"/>
  <c r="V90" s="1"/>
  <c r="W90" s="1"/>
  <c r="X98"/>
  <c r="X78"/>
  <c r="J78" s="1"/>
  <c r="E56" i="11"/>
  <c r="I15" i="9" s="1"/>
  <c r="L89" i="16"/>
  <c r="M88"/>
  <c r="M92"/>
  <c r="L93"/>
  <c r="D51" i="11"/>
  <c r="D53"/>
  <c r="F53" s="1"/>
  <c r="L87" i="16"/>
  <c r="M86"/>
  <c r="F24" i="17"/>
  <c r="F25" s="1"/>
  <c r="F27" s="1"/>
  <c r="F28" s="1"/>
  <c r="F32" s="1"/>
  <c r="AA25" i="18"/>
  <c r="AB25" s="1"/>
  <c r="I7"/>
  <c r="K7" s="1"/>
  <c r="K34" s="1"/>
  <c r="K2" s="1"/>
  <c r="L2" s="1"/>
  <c r="N2" s="1"/>
  <c r="N7"/>
  <c r="N9"/>
  <c r="O21"/>
  <c r="X21"/>
  <c r="N7" i="20"/>
  <c r="O7"/>
  <c r="I11" i="9"/>
  <c r="P5" i="16"/>
  <c r="F7" i="15"/>
  <c r="F28" s="1"/>
  <c r="F52" i="11"/>
  <c r="AN41" i="13"/>
  <c r="AO41" s="1"/>
  <c r="AP41" s="1"/>
  <c r="AQ41" s="1"/>
  <c r="AR41" s="1"/>
  <c r="F6" i="20"/>
  <c r="F8" s="1"/>
  <c r="F9" s="1"/>
  <c r="F11" s="1"/>
  <c r="F12" s="1"/>
  <c r="F16" s="1"/>
  <c r="I17" s="1"/>
  <c r="F7"/>
  <c r="N4" i="18"/>
  <c r="O4" s="1"/>
  <c r="N14"/>
  <c r="AV88" i="13"/>
  <c r="AC23" i="18"/>
  <c r="H73" i="10"/>
  <c r="L76"/>
  <c r="N17" i="18"/>
  <c r="O17" s="1"/>
  <c r="G11" i="9" l="1"/>
  <c r="K11" s="1"/>
  <c r="X80" i="16"/>
  <c r="J80" s="1"/>
  <c r="F76" i="10"/>
  <c r="N19" i="5"/>
  <c r="M20"/>
  <c r="M19"/>
  <c r="T63" i="16"/>
  <c r="X63"/>
  <c r="J63" s="1"/>
  <c r="E31" i="2"/>
  <c r="I4" i="9" s="1"/>
  <c r="P7" i="20"/>
  <c r="Q7" s="1"/>
  <c r="R7" s="1"/>
  <c r="S7" s="1"/>
  <c r="D56" i="11"/>
  <c r="D58" s="1"/>
  <c r="X65" i="16"/>
  <c r="J65" s="1"/>
  <c r="X57"/>
  <c r="J57" s="1"/>
  <c r="X96"/>
  <c r="BD17" i="13"/>
  <c r="J17" s="1"/>
  <c r="T7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K10" i="9"/>
  <c r="F40" i="11"/>
  <c r="F43" s="1"/>
  <c r="D43"/>
  <c r="H16" i="9" s="1"/>
  <c r="R76" i="16"/>
  <c r="Q82"/>
  <c r="C58" i="11"/>
  <c r="BD18" i="13"/>
  <c r="BA58"/>
  <c r="BB58" s="1"/>
  <c r="BC58" s="1"/>
  <c r="BE58"/>
  <c r="BD39"/>
  <c r="J39" s="1"/>
  <c r="AS41"/>
  <c r="AT41" s="1"/>
  <c r="AU41" s="1"/>
  <c r="AV41" s="1"/>
  <c r="AW41" s="1"/>
  <c r="AX41" s="1"/>
  <c r="AY41" s="1"/>
  <c r="AZ41" s="1"/>
  <c r="BA41" s="1"/>
  <c r="BB41" s="1"/>
  <c r="BC41" s="1"/>
  <c r="M87" i="16"/>
  <c r="N86"/>
  <c r="M93"/>
  <c r="N92"/>
  <c r="J73" i="10"/>
  <c r="J76" s="1"/>
  <c r="K78" s="1"/>
  <c r="H76"/>
  <c r="X14" i="18"/>
  <c r="O14"/>
  <c r="Q5" i="16"/>
  <c r="Y21" i="18"/>
  <c r="Z21" s="1"/>
  <c r="AA21" s="1"/>
  <c r="AB21" s="1"/>
  <c r="T9"/>
  <c r="O9"/>
  <c r="V9"/>
  <c r="W9" s="1"/>
  <c r="X9" s="1"/>
  <c r="Y9" s="1"/>
  <c r="Z9" s="1"/>
  <c r="AA9" s="1"/>
  <c r="AB9" s="1"/>
  <c r="O7"/>
  <c r="Q7"/>
  <c r="AC25"/>
  <c r="F51" i="11"/>
  <c r="F56" s="1"/>
  <c r="F58" s="1"/>
  <c r="M89" i="16"/>
  <c r="N88"/>
  <c r="O88" s="1"/>
  <c r="P88" s="1"/>
  <c r="Q88" s="1"/>
  <c r="R88" s="1"/>
  <c r="S88" s="1"/>
  <c r="T88" s="1"/>
  <c r="U88" s="1"/>
  <c r="V88" s="1"/>
  <c r="W88" s="1"/>
  <c r="X90"/>
  <c r="X31"/>
  <c r="J31" s="1"/>
  <c r="I17" i="9"/>
  <c r="X52" i="13"/>
  <c r="X94" i="16"/>
  <c r="T85" i="13"/>
  <c r="R28"/>
  <c r="T28" s="1"/>
  <c r="U28" s="1"/>
  <c r="V28" s="1"/>
  <c r="W28" s="1"/>
  <c r="X28" s="1"/>
  <c r="Y28" s="1"/>
  <c r="Z28" s="1"/>
  <c r="AA28" s="1"/>
  <c r="AB28" s="1"/>
  <c r="AC28" s="1"/>
  <c r="AD28" s="1"/>
  <c r="AE28" s="1"/>
  <c r="AF28" s="1"/>
  <c r="AG28" s="1"/>
  <c r="AH28" s="1"/>
  <c r="AI28" s="1"/>
  <c r="AJ28" s="1"/>
  <c r="AK28" s="1"/>
  <c r="AL28" s="1"/>
  <c r="AM28" s="1"/>
  <c r="AN28" s="1"/>
  <c r="AO28" s="1"/>
  <c r="S27"/>
  <c r="T27" s="1"/>
  <c r="U27" s="1"/>
  <c r="V27" s="1"/>
  <c r="W27" s="1"/>
  <c r="X27" s="1"/>
  <c r="Y27" s="1"/>
  <c r="Z27" s="1"/>
  <c r="AA27" s="1"/>
  <c r="AB27" s="1"/>
  <c r="AC27" s="1"/>
  <c r="AD27" s="1"/>
  <c r="AE27" s="1"/>
  <c r="AF27" s="1"/>
  <c r="AG27" s="1"/>
  <c r="AH27" s="1"/>
  <c r="AI27" s="1"/>
  <c r="AJ27" s="1"/>
  <c r="AK27" s="1"/>
  <c r="AL27" s="1"/>
  <c r="AM27" s="1"/>
  <c r="AN27" s="1"/>
  <c r="AO27" s="1"/>
  <c r="AP27" s="1"/>
  <c r="AQ27" s="1"/>
  <c r="AR27" s="1"/>
  <c r="AS27" s="1"/>
  <c r="AT27" s="1"/>
  <c r="AU27" s="1"/>
  <c r="AV27" s="1"/>
  <c r="AW27" s="1"/>
  <c r="AX27" s="1"/>
  <c r="AY27" s="1"/>
  <c r="AZ27" s="1"/>
  <c r="BD25"/>
  <c r="AW45"/>
  <c r="AX45" s="1"/>
  <c r="AY45" s="1"/>
  <c r="AZ45" s="1"/>
  <c r="BA45" s="1"/>
  <c r="BB45" s="1"/>
  <c r="BC45" s="1"/>
  <c r="BD31"/>
  <c r="J31" s="1"/>
  <c r="O21"/>
  <c r="O19"/>
  <c r="AG29"/>
  <c r="AH29" s="1"/>
  <c r="AI29" s="1"/>
  <c r="AJ29" s="1"/>
  <c r="AK29" s="1"/>
  <c r="AL29" s="1"/>
  <c r="AM29" s="1"/>
  <c r="AN29" s="1"/>
  <c r="AO29" s="1"/>
  <c r="AP29" s="1"/>
  <c r="AQ29" s="1"/>
  <c r="AR29" s="1"/>
  <c r="AS29" s="1"/>
  <c r="AT29" s="1"/>
  <c r="AU29" s="1"/>
  <c r="AV29" s="1"/>
  <c r="AW29" s="1"/>
  <c r="AX29" s="1"/>
  <c r="AY29" s="1"/>
  <c r="AZ29" s="1"/>
  <c r="BD32"/>
  <c r="BD14"/>
  <c r="BD26"/>
  <c r="M71" i="16"/>
  <c r="N7"/>
  <c r="E58" i="11"/>
  <c r="J14" i="9"/>
  <c r="AB54" i="13"/>
  <c r="AC50"/>
  <c r="AD50" s="1"/>
  <c r="AE50" s="1"/>
  <c r="AF50" s="1"/>
  <c r="BA33"/>
  <c r="BB33" s="1"/>
  <c r="BC33" s="1"/>
  <c r="BE33"/>
  <c r="V74" i="16"/>
  <c r="BA62" i="13"/>
  <c r="BB62" s="1"/>
  <c r="BC62" s="1"/>
  <c r="BE62"/>
  <c r="BA60"/>
  <c r="BB60" s="1"/>
  <c r="BC60" s="1"/>
  <c r="BE60"/>
  <c r="BE11"/>
  <c r="BA11"/>
  <c r="BB11" s="1"/>
  <c r="BC11" s="1"/>
  <c r="AW43"/>
  <c r="AX43" s="1"/>
  <c r="AY43" s="1"/>
  <c r="AZ43" s="1"/>
  <c r="BA43" s="1"/>
  <c r="BB43" s="1"/>
  <c r="BC43" s="1"/>
  <c r="BE9"/>
  <c r="BA9"/>
  <c r="BB9" s="1"/>
  <c r="BC9" s="1"/>
  <c r="AE16"/>
  <c r="AF15"/>
  <c r="AG15" s="1"/>
  <c r="AH15" s="1"/>
  <c r="AI15" s="1"/>
  <c r="AJ15" s="1"/>
  <c r="AK15" s="1"/>
  <c r="AL15" s="1"/>
  <c r="AM15" s="1"/>
  <c r="AN15" s="1"/>
  <c r="AO15" s="1"/>
  <c r="AP15" s="1"/>
  <c r="AQ15" s="1"/>
  <c r="AR15" s="1"/>
  <c r="AS15" s="1"/>
  <c r="AT15" s="1"/>
  <c r="AU15" s="1"/>
  <c r="AV15" s="1"/>
  <c r="AW15" s="1"/>
  <c r="AX15" s="1"/>
  <c r="AY15" s="1"/>
  <c r="AZ15" s="1"/>
  <c r="BE23"/>
  <c r="BA23"/>
  <c r="BB23" s="1"/>
  <c r="BC23" s="1"/>
  <c r="BD86"/>
  <c r="BD28"/>
  <c r="BE35"/>
  <c r="BA35"/>
  <c r="BB35" s="1"/>
  <c r="BC35" s="1"/>
  <c r="BE37"/>
  <c r="BA37"/>
  <c r="BB37" s="1"/>
  <c r="BC37" s="1"/>
  <c r="BD13"/>
  <c r="J13" s="1"/>
  <c r="C19" i="2"/>
  <c r="C32" s="1"/>
  <c r="AL8" i="13"/>
  <c r="AM7"/>
  <c r="BA56"/>
  <c r="BB56" s="1"/>
  <c r="BC56" s="1"/>
  <c r="BE56"/>
  <c r="H15" i="9" l="1"/>
  <c r="S76" i="16"/>
  <c r="R82"/>
  <c r="O34" i="18"/>
  <c r="G5" i="9" s="1"/>
  <c r="AC21" i="18"/>
  <c r="BD58" i="13"/>
  <c r="J58" s="1"/>
  <c r="BD45"/>
  <c r="J45" s="1"/>
  <c r="AM8"/>
  <c r="AN7"/>
  <c r="G3" i="9"/>
  <c r="BE15" i="13"/>
  <c r="BA15"/>
  <c r="BB15" s="1"/>
  <c r="BC15" s="1"/>
  <c r="BD43"/>
  <c r="J43" s="1"/>
  <c r="AG50"/>
  <c r="O7" i="16"/>
  <c r="N71"/>
  <c r="BD56" i="13"/>
  <c r="J56" s="1"/>
  <c r="O20"/>
  <c r="L47"/>
  <c r="P19"/>
  <c r="BD37"/>
  <c r="J37" s="1"/>
  <c r="BD15"/>
  <c r="J15" s="1"/>
  <c r="BD11"/>
  <c r="J11" s="1"/>
  <c r="BD62"/>
  <c r="J62" s="1"/>
  <c r="Y52"/>
  <c r="Z52" s="1"/>
  <c r="AA52" s="1"/>
  <c r="AB52" s="1"/>
  <c r="X88" i="16"/>
  <c r="R5"/>
  <c r="O92"/>
  <c r="P92" s="1"/>
  <c r="Q92" s="1"/>
  <c r="R92" s="1"/>
  <c r="S92" s="1"/>
  <c r="T92" s="1"/>
  <c r="U92" s="1"/>
  <c r="V92" s="1"/>
  <c r="W92" s="1"/>
  <c r="O86"/>
  <c r="N100"/>
  <c r="AF16" i="13"/>
  <c r="AG16" s="1"/>
  <c r="W74" i="16"/>
  <c r="X74" s="1"/>
  <c r="J74" s="1"/>
  <c r="AC54" i="13"/>
  <c r="AD54" s="1"/>
  <c r="AE54" s="1"/>
  <c r="AF54" s="1"/>
  <c r="AG54" s="1"/>
  <c r="AH54" s="1"/>
  <c r="AI54" s="1"/>
  <c r="AJ54" s="1"/>
  <c r="AK54" s="1"/>
  <c r="AL54" s="1"/>
  <c r="AM54" s="1"/>
  <c r="AN54" s="1"/>
  <c r="AO54" s="1"/>
  <c r="AP54" s="1"/>
  <c r="AQ54" s="1"/>
  <c r="AR54" s="1"/>
  <c r="AS54" s="1"/>
  <c r="AT54" s="1"/>
  <c r="AU54" s="1"/>
  <c r="AV54" s="1"/>
  <c r="AW54" s="1"/>
  <c r="AX54" s="1"/>
  <c r="AY54" s="1"/>
  <c r="AZ54" s="1"/>
  <c r="J26"/>
  <c r="BE29"/>
  <c r="BA29"/>
  <c r="BB29" s="1"/>
  <c r="BC29" s="1"/>
  <c r="P21"/>
  <c r="Q21" s="1"/>
  <c r="R21" s="1"/>
  <c r="S21" s="1"/>
  <c r="T21" s="1"/>
  <c r="U21" s="1"/>
  <c r="V21" s="1"/>
  <c r="W21" s="1"/>
  <c r="X21" s="1"/>
  <c r="Y21" s="1"/>
  <c r="Z21" s="1"/>
  <c r="AA21" s="1"/>
  <c r="AB21" s="1"/>
  <c r="AC21" s="1"/>
  <c r="AD21" s="1"/>
  <c r="AE21" s="1"/>
  <c r="AF21" s="1"/>
  <c r="AG21" s="1"/>
  <c r="AH21" s="1"/>
  <c r="AI21" s="1"/>
  <c r="AJ21" s="1"/>
  <c r="AK21" s="1"/>
  <c r="AL21" s="1"/>
  <c r="AM21" s="1"/>
  <c r="AN21" s="1"/>
  <c r="AO21" s="1"/>
  <c r="AP21" s="1"/>
  <c r="AQ21" s="1"/>
  <c r="AR21" s="1"/>
  <c r="AS21" s="1"/>
  <c r="AT21" s="1"/>
  <c r="AU21" s="1"/>
  <c r="AV21" s="1"/>
  <c r="AW21" s="1"/>
  <c r="AX21" s="1"/>
  <c r="AY21" s="1"/>
  <c r="AZ21" s="1"/>
  <c r="BD35"/>
  <c r="J35" s="1"/>
  <c r="BA27"/>
  <c r="BB27" s="1"/>
  <c r="BC27" s="1"/>
  <c r="BE27"/>
  <c r="BD23"/>
  <c r="J23" s="1"/>
  <c r="BD9"/>
  <c r="J9" s="1"/>
  <c r="BD60"/>
  <c r="J60" s="1"/>
  <c r="BD33"/>
  <c r="R7" i="18"/>
  <c r="S7" s="1"/>
  <c r="U9"/>
  <c r="AC9"/>
  <c r="Y14"/>
  <c r="Z14" s="1"/>
  <c r="AA14" s="1"/>
  <c r="AB14" s="1"/>
  <c r="BD41" i="13"/>
  <c r="J41" s="1"/>
  <c r="K15" i="9" l="1"/>
  <c r="K17" s="1"/>
  <c r="H17"/>
  <c r="T76" i="16"/>
  <c r="S82"/>
  <c r="AC14" i="18"/>
  <c r="BE54" i="13"/>
  <c r="BA54"/>
  <c r="BB54" s="1"/>
  <c r="BC54" s="1"/>
  <c r="P86" i="16"/>
  <c r="O100"/>
  <c r="AC52" i="13"/>
  <c r="BD27"/>
  <c r="J27" s="1"/>
  <c r="L87"/>
  <c r="BD29"/>
  <c r="J29" s="1"/>
  <c r="N101" i="16"/>
  <c r="P7"/>
  <c r="O71"/>
  <c r="X85" i="13"/>
  <c r="G6" i="9"/>
  <c r="G19" s="1"/>
  <c r="AN8" i="13"/>
  <c r="AO7"/>
  <c r="S8" i="18"/>
  <c r="AC8" s="1"/>
  <c r="AC36" s="1"/>
  <c r="I5" i="9" s="1"/>
  <c r="T7" i="18"/>
  <c r="U7" s="1"/>
  <c r="V7" s="1"/>
  <c r="W7" s="1"/>
  <c r="X7" s="1"/>
  <c r="Y7" s="1"/>
  <c r="Z7" s="1"/>
  <c r="AA7" s="1"/>
  <c r="AB7" s="1"/>
  <c r="BA21" i="13"/>
  <c r="BE21"/>
  <c r="BD54"/>
  <c r="J54" s="1"/>
  <c r="BD16"/>
  <c r="X92" i="16"/>
  <c r="S5"/>
  <c r="X64" i="13"/>
  <c r="Q19"/>
  <c r="O22"/>
  <c r="P20"/>
  <c r="L48"/>
  <c r="AH50"/>
  <c r="O101" i="16" l="1"/>
  <c r="U76"/>
  <c r="T82"/>
  <c r="AI50" i="13"/>
  <c r="AJ50" s="1"/>
  <c r="Q20"/>
  <c r="P22"/>
  <c r="BB21"/>
  <c r="BC21" s="1"/>
  <c r="AO8"/>
  <c r="AP7"/>
  <c r="AQ7" s="1"/>
  <c r="AR7" s="1"/>
  <c r="AS7" s="1"/>
  <c r="AT7" s="1"/>
  <c r="AU7" s="1"/>
  <c r="AV7" s="1"/>
  <c r="AW7" s="1"/>
  <c r="AX7" s="1"/>
  <c r="AY7" s="1"/>
  <c r="AZ7" s="1"/>
  <c r="G23" i="9"/>
  <c r="AD52" i="13"/>
  <c r="L88"/>
  <c r="R19"/>
  <c r="T5" i="16"/>
  <c r="AC7" i="18"/>
  <c r="AC34" s="1"/>
  <c r="H5" i="9" s="1"/>
  <c r="K5" s="1"/>
  <c r="BD8" i="13"/>
  <c r="Q7" i="16"/>
  <c r="P71"/>
  <c r="P101" s="1"/>
  <c r="Q86"/>
  <c r="P100"/>
  <c r="V76" l="1"/>
  <c r="U82"/>
  <c r="R86"/>
  <c r="Q100"/>
  <c r="R7"/>
  <c r="Q71"/>
  <c r="Q101" s="1"/>
  <c r="U5"/>
  <c r="AE52" i="13"/>
  <c r="AB64" s="1"/>
  <c r="BA7"/>
  <c r="BE7"/>
  <c r="BD21"/>
  <c r="J21" s="1"/>
  <c r="S19"/>
  <c r="P47" s="1"/>
  <c r="R20"/>
  <c r="Q22"/>
  <c r="AK50"/>
  <c r="W76" i="16" l="1"/>
  <c r="W82" s="1"/>
  <c r="V82"/>
  <c r="P87" i="13"/>
  <c r="AL50"/>
  <c r="R22"/>
  <c r="T22" s="1"/>
  <c r="U22" s="1"/>
  <c r="V22" s="1"/>
  <c r="W22" s="1"/>
  <c r="X22" s="1"/>
  <c r="Y22" s="1"/>
  <c r="Z22" s="1"/>
  <c r="AA22" s="1"/>
  <c r="AB22" s="1"/>
  <c r="AC22" s="1"/>
  <c r="AD22" s="1"/>
  <c r="AE22" s="1"/>
  <c r="AF22" s="1"/>
  <c r="AG22" s="1"/>
  <c r="AH22" s="1"/>
  <c r="AI22" s="1"/>
  <c r="AJ22" s="1"/>
  <c r="AK22" s="1"/>
  <c r="AL22" s="1"/>
  <c r="AM22" s="1"/>
  <c r="AN22" s="1"/>
  <c r="AO22" s="1"/>
  <c r="V5" i="16"/>
  <c r="S7"/>
  <c r="R71"/>
  <c r="T20" i="13"/>
  <c r="P48"/>
  <c r="T19"/>
  <c r="BB7"/>
  <c r="BC7" s="1"/>
  <c r="AF52"/>
  <c r="S86" i="16"/>
  <c r="R100"/>
  <c r="X76" l="1"/>
  <c r="J76" s="1"/>
  <c r="BD7" i="13"/>
  <c r="T86" i="16"/>
  <c r="S100"/>
  <c r="AG52" i="13"/>
  <c r="U19"/>
  <c r="U20"/>
  <c r="V20" s="1"/>
  <c r="W20" s="1"/>
  <c r="X20" s="1"/>
  <c r="T7" i="16"/>
  <c r="S71"/>
  <c r="S101" s="1"/>
  <c r="AM50" i="13"/>
  <c r="AB85"/>
  <c r="P88"/>
  <c r="R101" i="16"/>
  <c r="W5"/>
  <c r="BD22" i="13"/>
  <c r="T48" l="1"/>
  <c r="T88" s="1"/>
  <c r="J7"/>
  <c r="AN50"/>
  <c r="Y20"/>
  <c r="V19"/>
  <c r="AH52"/>
  <c r="X5" i="16"/>
  <c r="J5" s="1"/>
  <c r="U7"/>
  <c r="T71"/>
  <c r="U86"/>
  <c r="T100"/>
  <c r="V86" l="1"/>
  <c r="U100"/>
  <c r="V7"/>
  <c r="U71"/>
  <c r="BD6" i="13"/>
  <c r="AI52"/>
  <c r="AF64" s="1"/>
  <c r="W19"/>
  <c r="T47" s="1"/>
  <c r="Z20"/>
  <c r="AO50"/>
  <c r="AP50" s="1"/>
  <c r="AQ50" s="1"/>
  <c r="AR50" s="1"/>
  <c r="T101" i="16"/>
  <c r="U101" l="1"/>
  <c r="T87" i="13"/>
  <c r="AF85"/>
  <c r="W7" i="16"/>
  <c r="V71"/>
  <c r="W86"/>
  <c r="V100"/>
  <c r="AS50" i="13"/>
  <c r="AT50" s="1"/>
  <c r="AU50" s="1"/>
  <c r="AV50" s="1"/>
  <c r="AA20"/>
  <c r="AB20" s="1"/>
  <c r="X48"/>
  <c r="X19"/>
  <c r="AJ52"/>
  <c r="AN85" l="1"/>
  <c r="AJ85"/>
  <c r="AK52"/>
  <c r="AL52" s="1"/>
  <c r="AM52" s="1"/>
  <c r="AN52" s="1"/>
  <c r="Y19"/>
  <c r="Z19" s="1"/>
  <c r="AA19" s="1"/>
  <c r="AB19" s="1"/>
  <c r="X47"/>
  <c r="AC20"/>
  <c r="AD20" s="1"/>
  <c r="AE20" s="1"/>
  <c r="AF20" s="1"/>
  <c r="AB48"/>
  <c r="AB88" s="1"/>
  <c r="AW50"/>
  <c r="AX50" s="1"/>
  <c r="AY50" s="1"/>
  <c r="AZ50" s="1"/>
  <c r="W100" i="16"/>
  <c r="X86"/>
  <c r="W71"/>
  <c r="X7"/>
  <c r="J7" s="1"/>
  <c r="X88" i="13"/>
  <c r="V101" i="16"/>
  <c r="BD5" i="13" l="1"/>
  <c r="BE5"/>
  <c r="BA50"/>
  <c r="BB50" s="1"/>
  <c r="BC50" s="1"/>
  <c r="BD50" s="1"/>
  <c r="J50" s="1"/>
  <c r="AG20"/>
  <c r="AH20" s="1"/>
  <c r="AI20" s="1"/>
  <c r="AJ20" s="1"/>
  <c r="AC19"/>
  <c r="AD19" s="1"/>
  <c r="AE19" s="1"/>
  <c r="AF19" s="1"/>
  <c r="AO52"/>
  <c r="AP52" s="1"/>
  <c r="AQ52" s="1"/>
  <c r="AR52" s="1"/>
  <c r="W101" i="16"/>
  <c r="X71"/>
  <c r="X87" i="13"/>
  <c r="AJ64"/>
  <c r="AR85" l="1"/>
  <c r="AV85"/>
  <c r="AN64"/>
  <c r="AB47"/>
  <c r="AF48"/>
  <c r="AF88" s="1"/>
  <c r="AS52"/>
  <c r="AT52" s="1"/>
  <c r="AU52" s="1"/>
  <c r="AV52" s="1"/>
  <c r="AG19"/>
  <c r="AH19" s="1"/>
  <c r="AI19" s="1"/>
  <c r="AJ19" s="1"/>
  <c r="AK20"/>
  <c r="AL20" s="1"/>
  <c r="AM20" s="1"/>
  <c r="AN20" s="1"/>
  <c r="J5"/>
  <c r="AR64" l="1"/>
  <c r="AJ48"/>
  <c r="AJ88" s="1"/>
  <c r="AF47"/>
  <c r="AF87" s="1"/>
  <c r="AO20"/>
  <c r="BD20" s="1"/>
  <c r="AN48"/>
  <c r="AK19"/>
  <c r="AL19" s="1"/>
  <c r="AM19" s="1"/>
  <c r="AN19" s="1"/>
  <c r="AJ47"/>
  <c r="AJ87" s="1"/>
  <c r="AW52"/>
  <c r="AX52" s="1"/>
  <c r="AY52" s="1"/>
  <c r="AZ52" s="1"/>
  <c r="AV64"/>
  <c r="AB87"/>
  <c r="AZ85" l="1"/>
  <c r="BA52"/>
  <c r="BB52" s="1"/>
  <c r="BC52" s="1"/>
  <c r="BD52" s="1"/>
  <c r="J52" s="1"/>
  <c r="BE52"/>
  <c r="AZ64"/>
  <c r="BD64" s="1"/>
  <c r="AO19"/>
  <c r="AP19" s="1"/>
  <c r="AQ19" s="1"/>
  <c r="AR19" s="1"/>
  <c r="AN47"/>
  <c r="AN87" s="1"/>
  <c r="E19" i="2"/>
  <c r="E32" s="1"/>
  <c r="AN88" i="13"/>
  <c r="BD88" s="1"/>
  <c r="BD48"/>
  <c r="D31" i="2" l="1"/>
  <c r="H4" i="9" s="1"/>
  <c r="K4" s="1"/>
  <c r="F31" i="2"/>
  <c r="I3" i="9"/>
  <c r="I6" s="1"/>
  <c r="I19" s="1"/>
  <c r="I23" s="1"/>
  <c r="AS19" i="13"/>
  <c r="AT19" s="1"/>
  <c r="AU19" s="1"/>
  <c r="AV19" s="1"/>
  <c r="BD85"/>
  <c r="AR47" l="1"/>
  <c r="AR87" s="1"/>
  <c r="AW19"/>
  <c r="AX19" s="1"/>
  <c r="AY19" s="1"/>
  <c r="AZ19" s="1"/>
  <c r="AV47" l="1"/>
  <c r="AV87" s="1"/>
  <c r="BA19"/>
  <c r="BB19" s="1"/>
  <c r="BC19" s="1"/>
  <c r="BD19" s="1"/>
  <c r="J19" s="1"/>
  <c r="BE19"/>
  <c r="AZ47"/>
  <c r="BD47" l="1"/>
  <c r="AZ87"/>
  <c r="BD87" s="1"/>
  <c r="F19" i="2"/>
  <c r="F32" s="1"/>
  <c r="D19"/>
  <c r="D32" s="1"/>
  <c r="H3" i="9" l="1"/>
  <c r="H6" l="1"/>
  <c r="H19" s="1"/>
  <c r="K3"/>
  <c r="K6" s="1"/>
  <c r="H23" l="1"/>
  <c r="K19"/>
  <c r="K23" s="1"/>
</calcChain>
</file>

<file path=xl/comments1.xml><?xml version="1.0" encoding="utf-8"?>
<comments xmlns="http://schemas.openxmlformats.org/spreadsheetml/2006/main">
  <authors>
    <author>Narendra Khurana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Narendra Khurana:</t>
        </r>
        <r>
          <rPr>
            <sz val="9"/>
            <color indexed="81"/>
            <rFont val="Tahoma"/>
            <family val="2"/>
          </rPr>
          <t xml:space="preserve">
Arm trailing Abhey Singh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Narendra Khurana:</t>
        </r>
        <r>
          <rPr>
            <sz val="9"/>
            <color indexed="81"/>
            <rFont val="Tahoma"/>
            <family val="2"/>
          </rPr>
          <t xml:space="preserve">
.97 lacs balance to be identified by Sumant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Narendra Khurana:</t>
        </r>
        <r>
          <rPr>
            <sz val="9"/>
            <color indexed="81"/>
            <rFont val="Tahoma"/>
            <family val="2"/>
          </rPr>
          <t xml:space="preserve">
Rs.2.00 crores details to be furnised.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Narendra Khurana:</t>
        </r>
        <r>
          <rPr>
            <sz val="9"/>
            <color indexed="81"/>
            <rFont val="Tahoma"/>
            <family val="2"/>
          </rPr>
          <t xml:space="preserve">
.36 to .70 to be follow up through Bajpai</t>
        </r>
      </text>
    </comment>
  </commentList>
</comments>
</file>

<file path=xl/sharedStrings.xml><?xml version="1.0" encoding="utf-8"?>
<sst xmlns="http://schemas.openxmlformats.org/spreadsheetml/2006/main" count="1506" uniqueCount="600">
  <si>
    <t>Project Description</t>
  </si>
  <si>
    <t>% Completion</t>
  </si>
  <si>
    <t>YTD</t>
  </si>
  <si>
    <t>Key Actions Required</t>
  </si>
  <si>
    <t>Responsibility</t>
  </si>
  <si>
    <t>Support</t>
  </si>
  <si>
    <t>Target Date</t>
  </si>
  <si>
    <t xml:space="preserve">Target </t>
  </si>
  <si>
    <t xml:space="preserve">Actual </t>
  </si>
  <si>
    <t xml:space="preserve">Gap </t>
  </si>
  <si>
    <t>Present Status (G/Y/R)</t>
  </si>
  <si>
    <t xml:space="preserve">Cost Reduction -Projects Tracking Sheet </t>
  </si>
  <si>
    <t>Review Date</t>
  </si>
  <si>
    <t xml:space="preserve">Annual  Potential </t>
  </si>
  <si>
    <t>Category</t>
  </si>
  <si>
    <t>Sr #</t>
  </si>
  <si>
    <t>Revised date</t>
  </si>
  <si>
    <t>PLANT - 1</t>
  </si>
  <si>
    <t>PLANT - 3</t>
  </si>
  <si>
    <t>Consolidated</t>
  </si>
  <si>
    <t>Identified till 16.4.12</t>
  </si>
  <si>
    <t>VA / VE</t>
  </si>
  <si>
    <t>A) YIELD IMPROVEMENT</t>
  </si>
  <si>
    <t xml:space="preserve">A) YIELD IMPROVEMENT w/o coil Blanking </t>
  </si>
  <si>
    <t>B) PROCESS IMPROVEMENT</t>
  </si>
  <si>
    <t>LOCALIZATION</t>
  </si>
  <si>
    <t>A) SHIMA VS INDO</t>
  </si>
  <si>
    <t>B) RAMCO VS SUNDREM</t>
  </si>
  <si>
    <t>PRICE NEGO + VENDOR VA/VE</t>
  </si>
  <si>
    <t>A) VA/VE + SECOND SOURCING</t>
  </si>
  <si>
    <t>MRO CONSUMPTION</t>
  </si>
  <si>
    <t xml:space="preserve">A) CONSUMPTION CONTROL </t>
  </si>
  <si>
    <t>FREIGHT CHARGES</t>
  </si>
  <si>
    <t>A) FREIGHT SAVING</t>
  </si>
  <si>
    <t>Off load JBM</t>
  </si>
  <si>
    <t xml:space="preserve">L C Charges </t>
  </si>
  <si>
    <t>OFFLOADING TO INHOUSE</t>
  </si>
  <si>
    <t>Reduction in Man Power cost</t>
  </si>
  <si>
    <t xml:space="preserve">Total </t>
  </si>
  <si>
    <t>% to Target</t>
  </si>
  <si>
    <t>Cost Saving Initiatives -Tracking Sheet</t>
  </si>
  <si>
    <t>Deacription Of Category</t>
  </si>
  <si>
    <t>Target Savings</t>
  </si>
  <si>
    <t>Area of Saving</t>
  </si>
  <si>
    <t>Target(Cr)</t>
  </si>
  <si>
    <t xml:space="preserve">B) YIELD IMPROVEMENT with coil Blanking </t>
  </si>
  <si>
    <t>Team Leader</t>
  </si>
  <si>
    <t>CFT</t>
  </si>
  <si>
    <t>Plant-1</t>
  </si>
  <si>
    <t>Description Of Category</t>
  </si>
  <si>
    <t>Cost Reduction Initiatives-Teams</t>
  </si>
  <si>
    <t>Plant-3</t>
  </si>
  <si>
    <t>BG</t>
  </si>
  <si>
    <t>Actual YTD</t>
  </si>
  <si>
    <t>Identified YTD</t>
  </si>
  <si>
    <t>Gap</t>
  </si>
  <si>
    <t>Cost Saving Initiatives</t>
  </si>
  <si>
    <t>Energy</t>
  </si>
  <si>
    <t>Manpower</t>
  </si>
  <si>
    <t>Sreyans Jain</t>
  </si>
  <si>
    <t>Ravinder,SK Kala,Sharat Sharma, Prasanjeet</t>
  </si>
  <si>
    <t>S Bhatt</t>
  </si>
  <si>
    <t>Raja ram,SK kala,Kamal Gera,Sangeet Jain</t>
  </si>
  <si>
    <t>Kamal Gera</t>
  </si>
  <si>
    <t>Sudhir Bajpai,Ravinder,Sangeet Jain,S Maurya</t>
  </si>
  <si>
    <t>Ravinder</t>
  </si>
  <si>
    <t>Die Off load JBM</t>
  </si>
  <si>
    <t>Not Applicable</t>
  </si>
  <si>
    <t>UP LOADING TO INHOUSE</t>
  </si>
  <si>
    <t>Vineet Wasan,Sumant Mauraya,Devender,Suresh,Abhay,Asa Narayan</t>
  </si>
  <si>
    <t>N Khurana</t>
  </si>
  <si>
    <t>Finance Team</t>
  </si>
  <si>
    <t>Manpower Reduction</t>
  </si>
  <si>
    <t>Energy savings</t>
  </si>
  <si>
    <t>Sangeet Jain</t>
  </si>
  <si>
    <t>VA / VE -Process</t>
  </si>
  <si>
    <t>VA / VE-Yield</t>
  </si>
  <si>
    <t>Sumant mauraya</t>
  </si>
  <si>
    <t>Abhay</t>
  </si>
  <si>
    <t>Vineet Wasan,Sandeep Grover,Rahul,Rajiv Ranjan</t>
  </si>
  <si>
    <t>Asa Narayan,Om Prakash,Rajiv Ranjan,Jai Singh</t>
  </si>
  <si>
    <t>Raj Kumar,Sudhir Bajpai,Vineet Wasan,Pankaj,Samay Singh</t>
  </si>
  <si>
    <t>BG,Rahul,Suresh,Chitresh,Amit,Rishi Pal</t>
  </si>
  <si>
    <t>SKH Metals-3</t>
  </si>
  <si>
    <t>HARJIT</t>
  </si>
  <si>
    <t>Category -VA/VE - YIELD IMPROVEMENT</t>
  </si>
  <si>
    <t>58231-YL8 (Mbr Hood Lock Outer)- Length</t>
  </si>
  <si>
    <t>SKH Metals-1</t>
  </si>
  <si>
    <t>Area- Yield Improvement</t>
  </si>
  <si>
    <t>Gap ( Actual-Target)</t>
  </si>
  <si>
    <t xml:space="preserve">Alto upper pannel blank size reduces </t>
  </si>
  <si>
    <t>Y</t>
  </si>
  <si>
    <t>To be reviewed &amp;Retrial</t>
  </si>
  <si>
    <t>abhay</t>
  </si>
  <si>
    <t>CFT/BG san</t>
  </si>
  <si>
    <t>date decided according expert advice.</t>
  </si>
  <si>
    <t xml:space="preserve">Alto lower pannel blank size reduces </t>
  </si>
  <si>
    <t>G</t>
  </si>
  <si>
    <t xml:space="preserve"> saving start  from 31/05/12. </t>
  </si>
  <si>
    <t>31/05/12</t>
  </si>
  <si>
    <t xml:space="preserve">Yr-9 upper panel blank size reduces </t>
  </si>
  <si>
    <t xml:space="preserve">Yr-9 lower panel blank size reduces </t>
  </si>
  <si>
    <t xml:space="preserve">Fuel tank upper k blank size reduces </t>
  </si>
  <si>
    <t xml:space="preserve">Fuel tank upper o2 blank size reduces </t>
  </si>
  <si>
    <t>purchase end</t>
  </si>
  <si>
    <t xml:space="preserve">Fuel tank lower-o2 blank size reduces </t>
  </si>
  <si>
    <t xml:space="preserve">wheel  housing omni outer.blank size reduces </t>
  </si>
  <si>
    <t xml:space="preserve">pinion upper blank size reduces </t>
  </si>
  <si>
    <t>side sill inner front</t>
  </si>
  <si>
    <t xml:space="preserve">Rial cover </t>
  </si>
  <si>
    <t>side sill outer</t>
  </si>
  <si>
    <t>side sill inner rear</t>
  </si>
  <si>
    <t>comb. Inner</t>
  </si>
  <si>
    <t>Brace lamp-yp8</t>
  </si>
  <si>
    <t>pilot lot trial on 31/05/12</t>
  </si>
  <si>
    <t xml:space="preserve">production </t>
  </si>
  <si>
    <t>Panel dash-yr-9</t>
  </si>
  <si>
    <t>Fuel tank upper-l</t>
  </si>
  <si>
    <t>pilot lot trial on 01/06/12</t>
  </si>
  <si>
    <t>Fuel tank lower-l</t>
  </si>
  <si>
    <t>lager bock</t>
  </si>
  <si>
    <t>visit vendor on 31/05/12 (abhay and BG san)</t>
  </si>
  <si>
    <t>arm tralling</t>
  </si>
  <si>
    <t>gypsy upper</t>
  </si>
  <si>
    <t>trial on 03/06/12</t>
  </si>
  <si>
    <t>gypsy lower</t>
  </si>
  <si>
    <t>ftu upper 800 cc regular</t>
  </si>
  <si>
    <t>ftu upper 800 cc MPI</t>
  </si>
  <si>
    <t>Fuel tank lower 800cc.</t>
  </si>
  <si>
    <t>Total=</t>
  </si>
  <si>
    <t>S.No</t>
  </si>
  <si>
    <t>Annual Potential</t>
  </si>
  <si>
    <t>Target</t>
  </si>
  <si>
    <t>Comments</t>
  </si>
  <si>
    <t>Reduction In Blank Size</t>
  </si>
  <si>
    <t>Total</t>
  </si>
  <si>
    <t>New Identification under progress.</t>
  </si>
  <si>
    <t>Summary Identified VAVE -Plant-1</t>
  </si>
  <si>
    <t>Reduction In Blank Size(Yield)</t>
  </si>
  <si>
    <t>Process Improvement</t>
  </si>
  <si>
    <t>New Identifiction under progress.</t>
  </si>
  <si>
    <t>Summary Identified VAVE Yield -Plant-Binola SMC</t>
  </si>
  <si>
    <t>58281(Reinf Fr Bpr Lwr Mbr)</t>
  </si>
  <si>
    <t>61221(Reinf Main Floor-R/L)</t>
  </si>
  <si>
    <t>72381(Cross Member)</t>
  </si>
  <si>
    <t>Coil Blanking Die Reqd (Profile Blank).</t>
  </si>
  <si>
    <t>Coil Blanking Die Reqd (Profile Blank)</t>
  </si>
  <si>
    <t>Stroke Saving (SPM Upgradation)</t>
  </si>
  <si>
    <t>Coil Blanking Die Reqd ( Blank Nesting).</t>
  </si>
  <si>
    <t>Category -VA/VE-PROCESS  IMPROVEMENT</t>
  </si>
  <si>
    <t>Category -VA/VE-PROCESS IMPROVEMENT</t>
  </si>
  <si>
    <t>Category -VA/VE-Yield IMPROVEMENT</t>
  </si>
  <si>
    <t>Complete working will be shared by 11/06/12.</t>
  </si>
  <si>
    <t>Man power saving/year</t>
  </si>
  <si>
    <t>Side Sill YP8</t>
  </si>
  <si>
    <t>Side Sill YR9</t>
  </si>
  <si>
    <t>Grand Total</t>
  </si>
  <si>
    <t>Shared By Purchase</t>
  </si>
  <si>
    <t>No of Projects Identified</t>
  </si>
  <si>
    <t>No of ECN Release</t>
  </si>
  <si>
    <t>No of Implemented</t>
  </si>
  <si>
    <t xml:space="preserve">Coil Blanking </t>
  </si>
  <si>
    <t>Total(Plant-1,2 &amp;3)</t>
  </si>
  <si>
    <t>TOTAL</t>
  </si>
  <si>
    <t xml:space="preserve">Purchase Corp.Support </t>
  </si>
  <si>
    <t xml:space="preserve">FUEL TANK UPPER PANEL ( ALTO/YG4/MDEL-B /YR-9 ) CAM FLEARING OPERATION CHANGE OF HYD.POWER SPM MACHINE </t>
  </si>
  <si>
    <t xml:space="preserve">VASSEL FUEL TANK ( SMALL) ALTO NEW CONCEPT ( SPM PRESS MACHINE )  IMPLEMENTED </t>
  </si>
  <si>
    <t>Approval Require from Engg.</t>
  </si>
  <si>
    <t>Indent approval</t>
  </si>
  <si>
    <t>Indent Approval</t>
  </si>
  <si>
    <t>Sumant Maurya</t>
  </si>
  <si>
    <t>Mr.Sreyans Jain &amp; Mr.BG</t>
  </si>
  <si>
    <t>Mr.Subhash Bhatt</t>
  </si>
  <si>
    <t>BUSINESS CASE - 1</t>
  </si>
  <si>
    <t>PART - 1</t>
  </si>
  <si>
    <t>S.NO</t>
  </si>
  <si>
    <t>SHEET BLANKING</t>
  </si>
  <si>
    <t>COIL BLANKING AT NMPL/VENDOR</t>
  </si>
  <si>
    <t>REMARKS</t>
  </si>
  <si>
    <t>R/M Grade</t>
  </si>
  <si>
    <t>JSH270DN-P</t>
  </si>
  <si>
    <t>THICK</t>
  </si>
  <si>
    <t>WIDTH</t>
  </si>
  <si>
    <t>LENGTH               (PITCH)</t>
  </si>
  <si>
    <t>Existing Blank Size</t>
  </si>
  <si>
    <t>2 X 900 X 1130/3 NOS</t>
  </si>
  <si>
    <t>Gross wt/blank</t>
  </si>
  <si>
    <t>Yield Saving(Kg)</t>
  </si>
  <si>
    <t>Yield Saving(Rs)</t>
  </si>
  <si>
    <t>CTL   @2.7 Kg</t>
  </si>
  <si>
    <t>IDEAL STROKE @1.25/ Stroke</t>
  </si>
  <si>
    <t>1/SHEET</t>
  </si>
  <si>
    <t>WORKING STROKE @3.4/ Stroke</t>
  </si>
  <si>
    <t>3/SHEET</t>
  </si>
  <si>
    <t>Conversion Cost/blank</t>
  </si>
  <si>
    <t>@2000</t>
  </si>
  <si>
    <t>Expenses/Year</t>
  </si>
  <si>
    <t>289 working days/annum</t>
  </si>
  <si>
    <t>PART-2</t>
  </si>
  <si>
    <t>2 X 825 X 1125/4 NOS</t>
  </si>
  <si>
    <t>4/SHEET</t>
  </si>
  <si>
    <t>PART-3</t>
  </si>
  <si>
    <t>PART NAME: Upper Shell</t>
  </si>
  <si>
    <t>JSH440WN-P</t>
  </si>
  <si>
    <t>2 X 648 X 975/3 NOS</t>
  </si>
  <si>
    <t>TOTAL STROKE AVAILABLE</t>
  </si>
  <si>
    <t>@15 SPM &amp; 85% EFFICIENCY</t>
  </si>
  <si>
    <t>58231-YP8</t>
  </si>
  <si>
    <t>58232-YP8</t>
  </si>
  <si>
    <t>58231-YL8</t>
  </si>
  <si>
    <t>58232-YL8</t>
  </si>
  <si>
    <t>63151 - YP8</t>
  </si>
  <si>
    <t>63551 - YP8</t>
  </si>
  <si>
    <t>BALANCE STROKE AVAIL</t>
  </si>
  <si>
    <r>
      <t>PART NAME:</t>
    </r>
    <r>
      <rPr>
        <b/>
        <sz val="11"/>
        <color indexed="8"/>
        <rFont val="Calibri"/>
        <family val="2"/>
      </rPr>
      <t xml:space="preserve"> Frame Upper Shell</t>
    </r>
  </si>
  <si>
    <r>
      <t>PART NAME:</t>
    </r>
    <r>
      <rPr>
        <b/>
        <sz val="11"/>
        <color indexed="8"/>
        <rFont val="Calibri"/>
        <family val="2"/>
      </rPr>
      <t xml:space="preserve"> Frame Lower Shell</t>
    </r>
  </si>
  <si>
    <t>Category -VA/VE-PROCESS IMPROVEMENT (Coil Blanking)</t>
  </si>
  <si>
    <t xml:space="preserve">Grand Total - </t>
  </si>
  <si>
    <t>HARJIT &amp; Amit Bansal</t>
  </si>
  <si>
    <t>Category -VA/VE-PROCESS  IMPROVEMENT(Coil Blanking)</t>
  </si>
  <si>
    <t>SKH Metals-2(Binola)</t>
  </si>
  <si>
    <t>Split Panel-YC5</t>
  </si>
  <si>
    <t>45210/220 - K - Arm Suspenion</t>
  </si>
  <si>
    <t>Successfully started wef 01.06.12</t>
  </si>
  <si>
    <t>SK Bhardwaj
Ravi Ranjan</t>
  </si>
  <si>
    <t>Prod &amp; Desp Started wef 01.04.12</t>
  </si>
  <si>
    <t>SK Bhardwaj
Brijesh Yadav</t>
  </si>
  <si>
    <t>Material &amp; Desp started wef 11.04.12</t>
  </si>
  <si>
    <t>Material &amp; Desp started wef 04.04.12</t>
  </si>
  <si>
    <t>SK Bhardwaj
Sanjay Chauhan</t>
  </si>
  <si>
    <t>Spring Seat Lower, YL8</t>
  </si>
  <si>
    <t>Running successfully since 01.05.12</t>
  </si>
  <si>
    <t>U-Bkt Frt Cushion - 800CC &amp; YE3 (50% supplies to KML)</t>
  </si>
  <si>
    <t>Started wef 01.06.12</t>
  </si>
  <si>
    <t>Successfully started wef 01.04.12</t>
  </si>
  <si>
    <t>Successfully started wef 15.04.12</t>
  </si>
  <si>
    <t>Successfully started wef 16.04.12</t>
  </si>
  <si>
    <t>SK Bhardwaj
Raj Mani</t>
  </si>
  <si>
    <t>Successfully started wef 29.04.12</t>
  </si>
  <si>
    <t>Sharad Gupta/Govind Pandit</t>
  </si>
  <si>
    <t>Retrial planned by 10/06/12.</t>
  </si>
  <si>
    <t>Retrial planned by 12/06/12.</t>
  </si>
  <si>
    <t>Sharad Gupta</t>
  </si>
  <si>
    <t>01.07.12</t>
  </si>
  <si>
    <t>SK Chauhan /Naimuddin</t>
  </si>
  <si>
    <t>SKBhardwaj /Govind Pandit</t>
  </si>
  <si>
    <t>15.07.12</t>
  </si>
  <si>
    <t>SK Bhardwaj</t>
  </si>
  <si>
    <t>Rajeev Ranjan / Govind Pandit</t>
  </si>
  <si>
    <t>01.08.12</t>
  </si>
  <si>
    <t>New Taper Slit size to be trialled by 22.06.12</t>
  </si>
  <si>
    <t>Retainer Air Outlet, YL8</t>
  </si>
  <si>
    <t>01.09.12</t>
  </si>
  <si>
    <t>Inner Bkt -YC5 (Inner Bkt)</t>
  </si>
  <si>
    <t>64611M79a60 (Roof Back Outer, O2)</t>
  </si>
  <si>
    <t>64621M78I60 (Roof Back Inner, O2)</t>
  </si>
  <si>
    <t>65971M79a60 (Reinf. Roof Front, O2)</t>
  </si>
  <si>
    <t>172467 - 60M00 (Frame Upper Shell )</t>
  </si>
  <si>
    <t>63322 / 722 - M59K00 (Brace IT RH/LH Model M)</t>
  </si>
  <si>
    <t>59281-67I00 (Pnl Dash Side LH, YR9)</t>
  </si>
  <si>
    <t>46511/ 514 - M67040 (Axle Housing Upper/Lower, O2)</t>
  </si>
  <si>
    <t>59411 / 461 - M55Ka0 (Cowl Side Outer RH/LH Model L)</t>
  </si>
  <si>
    <t>72381-68K00/K10 ( ST,CROSS MBR,FRT LOWER Exp/Dom,YC5)</t>
  </si>
  <si>
    <t>58281-68K00/K10 (ST,MBR,FRONT BUMPER LWR Exp/Dom,YC5)</t>
  </si>
  <si>
    <t>61213/214 68K00 (Brace Main Floor Tunnel No.- 1/2)</t>
  </si>
  <si>
    <t>61133-68K00 (Panel Cross Member, YC5)</t>
  </si>
  <si>
    <t>63712/312-68K00 (Extension Qtr. Inner RH/LH YC5)</t>
  </si>
  <si>
    <t xml:space="preserve"> 172443/44-60M00 (Upper Shell RH/LH)</t>
  </si>
  <si>
    <t>61310 / 320 - Ma79g00 (SIDE SILL INNER LH/RH , Alto )</t>
  </si>
  <si>
    <t>68232 / 432 -51K00 (REINF DOOR MIRROR RH/LH, N)</t>
  </si>
  <si>
    <t>72380M68K10 (Bkt.  Radiator Lower,YC5)</t>
  </si>
  <si>
    <t>59321MA79J00 (Pedal Hanger Upper, Model L)</t>
  </si>
  <si>
    <t>65411M59K00 (Panel Rear Skirt, Model M)</t>
  </si>
  <si>
    <t>Under QA Inspection dt 05/06/12</t>
  </si>
  <si>
    <t>Mukesh sharma, Harjeet,Amit bansal,Ajay Manchanda,Neeraj sharma,Ravi ranjan</t>
  </si>
  <si>
    <t>Mukesh sharma, Harjeet,Amit bansal,Sharad Gupta</t>
  </si>
  <si>
    <t>68121/321 (Reinf Front Door Outer-R/L) - Model -K</t>
  </si>
  <si>
    <t>64611 (Panel Roof Back Outer)-Model -O2</t>
  </si>
  <si>
    <t>Member Roof Ctr No -2 - Model - L</t>
  </si>
  <si>
    <t>Panel Rear Back-Model YC5</t>
  </si>
  <si>
    <t>Identified dt 08/06/12.</t>
  </si>
  <si>
    <t>01.08.13</t>
  </si>
  <si>
    <t>01.08.14</t>
  </si>
  <si>
    <t>01.08.15</t>
  </si>
  <si>
    <t>01.08.16</t>
  </si>
  <si>
    <t>ECR will be raised by 08/06/12.</t>
  </si>
  <si>
    <t>Pilot Lot trial by 13/06/12.</t>
  </si>
  <si>
    <t>New Shear tool will be ready by 15.07.12 &amp; ECR will be raised by 11/06/12.</t>
  </si>
  <si>
    <t>63211 / 611 -83K00 (PANEL CTR PILLER INNER RH/LH)-Model N</t>
  </si>
  <si>
    <t>ECR will be released by 08/06/12.</t>
  </si>
  <si>
    <t>ECR released, material expected by 15.07.13.</t>
  </si>
  <si>
    <t>Pilot Lot trial by 22/06/12.</t>
  </si>
  <si>
    <t>Pilot Lot trial by 03/07/12.</t>
  </si>
  <si>
    <t>65161M79J00 (Mbr. Roof Ctr No 2,Model- L)</t>
  </si>
  <si>
    <t>63311/711 -65I00 (Reinf.Qtr. Inner Front RH/LH,Model-M)</t>
  </si>
  <si>
    <t>Pilot Lot trial by 05/07/12.</t>
  </si>
  <si>
    <t>Ganging of Dies ( Sparing capacity)-04 dies</t>
  </si>
  <si>
    <t>Panel Rear Skirt -Model M(Transport Cost).</t>
  </si>
  <si>
    <t>Brkt Radiator Lower - Model YC5(Stroke Saving)</t>
  </si>
  <si>
    <t>Panel Rear Skirt -Model M(Ganging Tool).</t>
  </si>
  <si>
    <t>Successfully running</t>
  </si>
  <si>
    <t>VA/VE Costing Sheet</t>
  </si>
  <si>
    <t>AREA : YEILD IMPROVEMENT</t>
  </si>
  <si>
    <t>CAT.</t>
  </si>
  <si>
    <t>S.NO.</t>
  </si>
  <si>
    <t>Part Name/No</t>
  </si>
  <si>
    <t>Photo</t>
  </si>
  <si>
    <t>Stamper</t>
  </si>
  <si>
    <t>Model</t>
  </si>
  <si>
    <t>Volume</t>
  </si>
  <si>
    <t>Prts/sheet</t>
  </si>
  <si>
    <t>Existing Size</t>
  </si>
  <si>
    <t>Proposed Size</t>
  </si>
  <si>
    <t>Thick</t>
  </si>
  <si>
    <t>Width</t>
  </si>
  <si>
    <t>Length(P)</t>
  </si>
  <si>
    <t>Gross Weight</t>
  </si>
  <si>
    <t>Saving/Piece (KG)</t>
  </si>
  <si>
    <t>Rate/Kg</t>
  </si>
  <si>
    <t>Saving/Piece (Rs.)</t>
  </si>
  <si>
    <t>Annual Saving</t>
  </si>
  <si>
    <t>Actualised Saving 2012-13(Lacs)</t>
  </si>
  <si>
    <t>Reduction in blk size</t>
  </si>
  <si>
    <t>58232                  (Mbr Hood Lock Inner)</t>
  </si>
  <si>
    <t>BINOLA</t>
  </si>
  <si>
    <t>YL8</t>
  </si>
  <si>
    <t>89111                        (Fuel tank Upper)</t>
  </si>
  <si>
    <t>PLANT-3</t>
  </si>
  <si>
    <t>89112                      (Fuel Tank Lower)</t>
  </si>
  <si>
    <t>58232                (Mbr Hood Lock Inner)</t>
  </si>
  <si>
    <t>YP8</t>
  </si>
  <si>
    <t>172443/44           (Upper shell-RH/LH)</t>
  </si>
  <si>
    <t>BINOLA + PLANT - 3</t>
  </si>
  <si>
    <t>45210/220                          (Arm Suspension)</t>
  </si>
  <si>
    <t>YC5</t>
  </si>
  <si>
    <t>New Identified</t>
  </si>
  <si>
    <t>172445/51                      (Lower Shell)</t>
  </si>
  <si>
    <t>22X,23X</t>
  </si>
  <si>
    <t>YV4</t>
  </si>
  <si>
    <t>K</t>
  </si>
  <si>
    <t>YR9</t>
  </si>
  <si>
    <t>O2</t>
  </si>
  <si>
    <t>L</t>
  </si>
  <si>
    <t>AREA : YIELD IMPROVEMENT</t>
  </si>
  <si>
    <t>VAVE Team:- Mr.G.Bhuvanedran,Mr S.Gupta,Mr.Mukesh Sharma,Mr Amit Bansal &amp; Mr Harjit</t>
  </si>
  <si>
    <t>Annual Impact (Rs)</t>
  </si>
  <si>
    <t>Project description</t>
  </si>
  <si>
    <t>SOP DATE</t>
  </si>
  <si>
    <t>ACTUAL IMPACT (Lacs)</t>
  </si>
  <si>
    <t>Month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</si>
  <si>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</si>
  <si>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</si>
  <si>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</si>
  <si>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</si>
  <si>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</si>
  <si>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</si>
  <si>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</si>
  <si>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</si>
  <si>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</si>
  <si>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</si>
  <si>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March</t>
  </si>
  <si>
    <t>P</t>
  </si>
  <si>
    <t>A</t>
  </si>
  <si>
    <t>Blanking Line/Blank Base</t>
  </si>
  <si>
    <t>COIL BLANKING</t>
  </si>
  <si>
    <t>YL8 Indo</t>
  </si>
  <si>
    <t>L(SX4)</t>
  </si>
  <si>
    <t>Sharad Gupta, NS rawat, Shiv parkash, Deepak</t>
  </si>
  <si>
    <t>Ravi ranjan, JP yadav, Neeraj sharma, Mukesh sharma,Ajab singh, Anil sach., Sunder,SS rawat.</t>
  </si>
  <si>
    <t>Sharad gupta, Joginder.</t>
  </si>
  <si>
    <t>Sharad gupta, Anil sach. , Amit bansal, JP yadav,</t>
  </si>
  <si>
    <t>Ravi ranjan, Neeraj sharma, Mukesh sharma, Kuldeep yadav,Anil sach., Sunder.</t>
  </si>
  <si>
    <t>Ravi ranjan, Kuldeep yadav,Mukesh sharma, KC singh</t>
  </si>
  <si>
    <t>Kuldeep yadav</t>
  </si>
  <si>
    <t>SS rawat</t>
  </si>
  <si>
    <t>Vijay yadav</t>
  </si>
  <si>
    <t>JP yadav</t>
  </si>
  <si>
    <t>N/A</t>
  </si>
  <si>
    <t>Consumption/Day(Lac)</t>
  </si>
  <si>
    <t>Yield Saving/Day (Lac)</t>
  </si>
  <si>
    <t>Yield Saving/Year (Lac)</t>
  </si>
  <si>
    <t>Annual Saving in Lac (incl yield)</t>
  </si>
  <si>
    <t>Annual Saving in (Lac) -incl yield.</t>
  </si>
  <si>
    <t>Reduction in Blk size</t>
  </si>
  <si>
    <t>Master Planning - VAVE- SKH-3</t>
  </si>
  <si>
    <t>Press Shop</t>
  </si>
  <si>
    <t>SEAT RISER- OMNI TRIM / BENDING DIE                             ( GANG TOOL)-RH</t>
  </si>
  <si>
    <t>SEAT RISER- OMNI TRIM / BENDING DIE                                   ( GANG TOOL)-LH</t>
  </si>
  <si>
    <t>Summary Identified VAVE -Plant-3</t>
  </si>
  <si>
    <t>STOCK SPM IMPROVEMENT IN (10 ~12) IN MECHANICAL PRESS ( PRODUCTIVITY IMPROVEMENT OF 125 T ) VESSEL FUEL TANK DRAW DIE  ( 250 TON )</t>
  </si>
  <si>
    <t>59281-67I00 (Panel Dash - LH)</t>
  </si>
  <si>
    <t>ECR to be released by 12.06.12</t>
  </si>
  <si>
    <t>No of ECN Pending</t>
  </si>
  <si>
    <t>Counted in SKH-3 Summary.</t>
  </si>
  <si>
    <t>Use of scrap wool in muffler</t>
  </si>
  <si>
    <t>Material reduction in main pipe alto K-10</t>
  </si>
  <si>
    <t>Pipe Thickness Reduced 4%</t>
  </si>
  <si>
    <t>SKH  SMC   LIMITED</t>
  </si>
  <si>
    <t>Category -VA/VE</t>
  </si>
  <si>
    <t>9 th june</t>
  </si>
  <si>
    <t>S. NO</t>
  </si>
  <si>
    <t>Annual  Potential 
Lacs</t>
  </si>
  <si>
    <t>EXPORT LINE</t>
  </si>
  <si>
    <t xml:space="preserve">Use of scrap wool in any type of muffler. </t>
  </si>
  <si>
    <t xml:space="preserve">Prashant </t>
  </si>
  <si>
    <t xml:space="preserve">Ravi Ranjan </t>
  </si>
  <si>
    <t>Trial of head rest pipe after reduction by 10 mm</t>
  </si>
  <si>
    <t>RAJESH UPADHAY</t>
  </si>
  <si>
    <t>Deepak Singhal</t>
  </si>
  <si>
    <t>1-7-2012</t>
  </si>
  <si>
    <t xml:space="preserve">Approval from R &amp; D and QA deptt. </t>
  </si>
  <si>
    <t>Rajbir</t>
  </si>
  <si>
    <t xml:space="preserve">Creation of ECN from R &amp; D deptt. </t>
  </si>
  <si>
    <t>Anil Kumar</t>
  </si>
  <si>
    <t xml:space="preserve">Procurement of material. </t>
  </si>
  <si>
    <t>Design &amp; Development</t>
  </si>
  <si>
    <t>Negotation By Supplier</t>
  </si>
  <si>
    <t>Deepak</t>
  </si>
  <si>
    <t>15.6.12</t>
  </si>
  <si>
    <t>Mukesh Goel</t>
  </si>
  <si>
    <t>Total Annual Impact</t>
  </si>
  <si>
    <t>Master Planning - VAVE- SKH-2</t>
  </si>
  <si>
    <t>YE3</t>
  </si>
  <si>
    <t>M</t>
  </si>
  <si>
    <t xml:space="preserve"> Alto</t>
  </si>
  <si>
    <t>N</t>
  </si>
  <si>
    <t>Apr</t>
  </si>
  <si>
    <t>15/4/2012</t>
  </si>
  <si>
    <t>PROCESS  IMPROVEMENT</t>
  </si>
  <si>
    <t>No of Presses</t>
  </si>
  <si>
    <t>Current SPM</t>
  </si>
  <si>
    <t>Time (Min/Day)</t>
  </si>
  <si>
    <t>Effieciency</t>
  </si>
  <si>
    <t>Total No of Strokes available</t>
  </si>
  <si>
    <t>SKH-3</t>
  </si>
  <si>
    <t>Scope for SPM improvement.</t>
  </si>
  <si>
    <t>Time Reqd for 81000 strokes @12 SPM</t>
  </si>
  <si>
    <t>Time Reqd for 81000 strokes @7 SPM</t>
  </si>
  <si>
    <t>Time Saving</t>
  </si>
  <si>
    <t>New Strokes Accommodate</t>
  </si>
  <si>
    <t>Stroke Cost(Rs)</t>
  </si>
  <si>
    <t>Total Cost Saving/Day</t>
  </si>
  <si>
    <t>Total Cost Saving(Year)</t>
  </si>
  <si>
    <t>Plant</t>
  </si>
  <si>
    <t>PROJECT SPM UPGRADATION</t>
  </si>
  <si>
    <t>Fuel Tank &amp; Suspension strokes (other than YP8)</t>
  </si>
  <si>
    <t>Existing Manpower Cost @3/press/year</t>
  </si>
  <si>
    <t>Proposed Manpower Cost @1.25/press/year</t>
  </si>
  <si>
    <t>Manpower Saving/Year</t>
  </si>
  <si>
    <t>Total Saving/Year</t>
  </si>
  <si>
    <t>Note:- The same concept is applicable to plant-Binola also.</t>
  </si>
  <si>
    <t>SKH-Binola SMC</t>
  </si>
  <si>
    <t>ECN-01 nos will be released by 16/06/12.</t>
  </si>
  <si>
    <t>Arm Trailing Draw &amp; Trim Gang Tool</t>
  </si>
  <si>
    <t>Saving/Day</t>
  </si>
  <si>
    <t>Week</t>
  </si>
  <si>
    <t>W1</t>
  </si>
  <si>
    <t>W2</t>
  </si>
  <si>
    <t>W3</t>
  </si>
  <si>
    <t>W4</t>
  </si>
  <si>
    <t>Actual</t>
  </si>
  <si>
    <t>Localization</t>
  </si>
  <si>
    <t>4.5.12</t>
  </si>
  <si>
    <t>STOCK</t>
  </si>
  <si>
    <t>KD(SHIMA)</t>
  </si>
  <si>
    <t>PART NO.</t>
  </si>
  <si>
    <t>MODEL</t>
  </si>
  <si>
    <t>ITEM</t>
  </si>
  <si>
    <t>UOM</t>
  </si>
  <si>
    <t>VEHICLE PER DAY</t>
  </si>
  <si>
    <t>QTY PER VEH</t>
  </si>
  <si>
    <t>REQ. PER DAY</t>
  </si>
  <si>
    <t>Per dayreq.</t>
  </si>
  <si>
    <t>rate</t>
  </si>
  <si>
    <t>value</t>
  </si>
  <si>
    <t>Rate local</t>
  </si>
  <si>
    <t>Saving per pcs</t>
  </si>
  <si>
    <t>Saving per day</t>
  </si>
  <si>
    <t>Annual Saving (in Lacs)</t>
  </si>
  <si>
    <t>April</t>
  </si>
  <si>
    <t>45821-63J00</t>
  </si>
  <si>
    <t>NUT</t>
  </si>
  <si>
    <t>NO.</t>
  </si>
  <si>
    <t>45815-58J00</t>
  </si>
  <si>
    <t>PIPE</t>
  </si>
  <si>
    <t>NO</t>
  </si>
  <si>
    <t>45815-68K00</t>
  </si>
  <si>
    <t>45821-68K00</t>
  </si>
  <si>
    <t>YR-9</t>
  </si>
  <si>
    <t>45911-78A02</t>
  </si>
  <si>
    <t>45844-55K00</t>
  </si>
  <si>
    <t>45822-55K00</t>
  </si>
  <si>
    <t>4583579J00</t>
  </si>
  <si>
    <t>172594M74L00</t>
  </si>
  <si>
    <t>COLLAR</t>
  </si>
  <si>
    <t>M14x1,5 Class 10 DIN EN 166</t>
  </si>
  <si>
    <t>M14x1,5 Class 10 EN ISO 86</t>
  </si>
  <si>
    <t>RM</t>
  </si>
  <si>
    <t>RR.WHEEL HOUSING -M --LH</t>
  </si>
  <si>
    <t>RAIL REAR</t>
  </si>
  <si>
    <t>FUTABA SUSPENSSION</t>
  </si>
  <si>
    <t>CROSS MEMBER UPPER 800 CC REGULAR</t>
  </si>
  <si>
    <t>CROSS MEMBER LOWER 800 CC REGULAR</t>
  </si>
  <si>
    <t>ECN Released dt 19/06/12.</t>
  </si>
  <si>
    <t>HARJIT/SK Bhardwaj</t>
  </si>
  <si>
    <t>Description</t>
  </si>
  <si>
    <t>Spec</t>
  </si>
  <si>
    <t>Frame Upper Shell-YP8</t>
  </si>
  <si>
    <t>Frame Lower Shell-YP8</t>
  </si>
  <si>
    <t>Upper Shell-YP8</t>
  </si>
  <si>
    <t>Lower Shell-YP8</t>
  </si>
  <si>
    <t>Gross Weight/Part(Kg)</t>
  </si>
  <si>
    <t>Arm-Suspn-Model YC5</t>
  </si>
  <si>
    <t>Strokes/Day</t>
  </si>
  <si>
    <t>2-Blank per Stroke.</t>
  </si>
  <si>
    <t>Cost/Day(Rs)</t>
  </si>
  <si>
    <t>58281-YC5-P2</t>
  </si>
  <si>
    <t>61221-YC5-P2</t>
  </si>
  <si>
    <t>72381-YC5-P2</t>
  </si>
  <si>
    <t>ArmSuspn-Model-K-P2</t>
  </si>
  <si>
    <t>COST CALCULATION - COIL BLANKING OUTSOURCED</t>
  </si>
  <si>
    <t>Fuel Tank &amp; Suspension strokes (other than YP8)/Day</t>
  </si>
  <si>
    <t>Scope for SPM improvement/Day</t>
  </si>
  <si>
    <t>Time Reqd for 81000 strokes @7 SPM/Day</t>
  </si>
  <si>
    <t>Time Reqd for 81000 strokes @12 SPM/Day</t>
  </si>
  <si>
    <t>Time Saving in Minutes</t>
  </si>
  <si>
    <t>New Strokes Accommodate(Nos)</t>
  </si>
  <si>
    <t>Total Cost Saving/Day(Rs)</t>
  </si>
  <si>
    <t>Total Cost Saving/Year(Rs)</t>
  </si>
  <si>
    <t>Manpower Saving/Year(Rs)</t>
  </si>
  <si>
    <t>Total Saving/Year(Rs)</t>
  </si>
  <si>
    <t>Cost/Year (Lacs) (outsourced)</t>
  </si>
  <si>
    <t>Cost/Year (Lacs) (inhouse)</t>
  </si>
  <si>
    <t>Lacs.</t>
  </si>
  <si>
    <t>Net Saving =</t>
  </si>
  <si>
    <t>Total Monthwise-Planned</t>
  </si>
  <si>
    <t>Total Monthwise-Actual</t>
  </si>
  <si>
    <t>GRAND TOTAL(Yield +Coil Blanking + Process)-Planned</t>
  </si>
  <si>
    <t>GRAND TOTAL(Yield +Coil Blanking + Process)-Actual</t>
  </si>
  <si>
    <t>No of Dies</t>
  </si>
  <si>
    <t>Stroke reqd/Day</t>
  </si>
  <si>
    <t>Time Reqd@7SPM</t>
  </si>
  <si>
    <t>Time Reqd@12SPM</t>
  </si>
  <si>
    <t>New Stroke available@7spm</t>
  </si>
  <si>
    <t>Saving/Year</t>
  </si>
  <si>
    <t>Bridge Gap delete proposal dt 15/06/12</t>
  </si>
  <si>
    <t>Electrode Tip Dia size reduction from 16 to 13</t>
  </si>
  <si>
    <t>20/4/2013</t>
  </si>
  <si>
    <t>Wire Dia Change from 0.8mm to 0.6 mm</t>
  </si>
  <si>
    <t>27/4/2013</t>
  </si>
  <si>
    <t>Scrap Utilisation</t>
  </si>
  <si>
    <t>Scrap of Baffle M - L can use as a raw material for check valve, cut valve, bkt. Wireharness</t>
  </si>
  <si>
    <t>Mig Wire Dia reduction</t>
  </si>
  <si>
    <t xml:space="preserve">Electrode Tip Dia </t>
  </si>
  <si>
    <t>Blank Size Reduction</t>
  </si>
  <si>
    <t>Annual Impact (Rs)(Lacs)</t>
  </si>
  <si>
    <t>Vessel Fuel Tank</t>
  </si>
  <si>
    <t>Thickness reduction from 0.7 to 0.6mm</t>
  </si>
  <si>
    <t>Upper Panel, Fuel Tank</t>
  </si>
  <si>
    <t>Thickness reduction from 0.75 to 0.7mm</t>
  </si>
  <si>
    <t>Small Baffle , Model L</t>
  </si>
  <si>
    <t>Elimination of Small Baffle Model L</t>
  </si>
  <si>
    <t>Bkt Support, Fuel Pump Unit</t>
  </si>
  <si>
    <t>Use of Pump hole scrap for its production</t>
  </si>
  <si>
    <t>Plate Fuel Tank Baffle; YE3</t>
  </si>
  <si>
    <t>Elimination of Baffle Model YE3</t>
  </si>
  <si>
    <t>Vessel , Fuel Tank Thickness Reduction from 0.7 to 0.6mm</t>
  </si>
  <si>
    <t>Upper Panel Thickness reduction from 0.75 to 0.7mm</t>
  </si>
  <si>
    <t>Use of Pump hole scrap for Bkt Support, Fuel Pump Unit production</t>
  </si>
  <si>
    <t>58231-YP8 (Mbr Hood Lock Outer)</t>
  </si>
  <si>
    <t>45812-K (Frame Lower Suspension)</t>
  </si>
  <si>
    <t>58231-YL8 (Mbr Hood Lock Outer)-Width</t>
  </si>
  <si>
    <t>45210/220         (Arm Suspension)</t>
  </si>
  <si>
    <t>Cowl Diesel - Modek -K</t>
  </si>
  <si>
    <t>89111(Fuel tank Upper)</t>
  </si>
  <si>
    <t>89112(Fuel Tank Lower)</t>
  </si>
  <si>
    <t>Actualised Saving 2013-14(Lacs)</t>
  </si>
  <si>
    <t>Op 20 to eliminate - YP8 Lower Frame</t>
  </si>
  <si>
    <t>Op 50 to eliminate - YP8 Hood Lock 58232</t>
  </si>
  <si>
    <t>Lower Shell-YP8 - Coil Blanking</t>
  </si>
  <si>
    <t>Upper Shell - YP8 - Coil Blanking</t>
  </si>
  <si>
    <t>SPM - Upgradation</t>
  </si>
  <si>
    <t>Total Saving/Year(Lacs)</t>
  </si>
  <si>
    <t>Material recd in Mixing condition</t>
  </si>
  <si>
    <t>Trial Planned dt 01/03/13.</t>
  </si>
  <si>
    <t>Vikram</t>
  </si>
  <si>
    <t>Mukesh/Harjit</t>
  </si>
  <si>
    <t>Trial Planned dt 02/03/13.</t>
  </si>
  <si>
    <t>Lower Shell-YP8 (Width)</t>
  </si>
  <si>
    <t>Lower Shell-YP8 (Length)</t>
  </si>
  <si>
    <t>Trial Planned dt 04/03/13.</t>
  </si>
  <si>
    <t>Trial Planned dt 05/03/13.</t>
  </si>
  <si>
    <t>Ritesh/Mohit</t>
  </si>
  <si>
    <t>Vikas Choudary</t>
  </si>
  <si>
    <t>R/M request given on 24-02-13</t>
  </si>
  <si>
    <t>R/M request given on 26-02-13</t>
  </si>
  <si>
    <t>Trial done Parts under QA dt 04/03/13.</t>
  </si>
  <si>
    <t>Had to drop if S.no 9 OK.</t>
  </si>
  <si>
    <t>Die Manufacturing regret by MPPL?RFQ given to Unitech.</t>
  </si>
  <si>
    <t>Car-V Submitted to MSIL.</t>
  </si>
</sst>
</file>

<file path=xl/styles.xml><?xml version="1.0" encoding="utf-8"?>
<styleSheet xmlns="http://schemas.openxmlformats.org/spreadsheetml/2006/main">
  <numFmts count="46">
    <numFmt numFmtId="41" formatCode="_ * #,##0_ ;_ * \-#,##0_ ;_ * &quot;-&quot;_ ;_ @_ "/>
    <numFmt numFmtId="43" formatCode="_ * #,##0.00_ ;_ * \-#,##0.00_ ;_ * &quot;-&quot;??_ ;_ @_ "/>
    <numFmt numFmtId="164" formatCode="&quot;$&quot;#,##0_);[Red]\(&quot;$&quot;#,##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0.000"/>
    <numFmt numFmtId="171" formatCode="###\ ###\ ###"/>
    <numFmt numFmtId="172" formatCode="####\ ###"/>
    <numFmt numFmtId="173" formatCode="#,##0\ ;[Red]\-\ #,##0\ ;&quot;- &quot;"/>
    <numFmt numFmtId="174" formatCode="_ &quot;$&quot;* #,##0.00_ ;_ &quot;$&quot;* \-#,##0.00_ ;_ &quot;$&quot;* &quot;-&quot;??_ ;_ @_ "/>
    <numFmt numFmtId="175" formatCode="0\ "/>
    <numFmt numFmtId="176" formatCode="#,##0;&quot;-&quot;#,##0"/>
    <numFmt numFmtId="177" formatCode="&quot;?#,##0;[Red]\-&quot;?#,##0"/>
    <numFmt numFmtId="178" formatCode="#,##0;[Red]&quot;-&quot;#,##0"/>
    <numFmt numFmtId="179" formatCode="#,##0\ "/>
    <numFmt numFmtId="180" formatCode="_(* #,##0.00_);_(* \(#,##0.00\);_(* \-??_);_(@_)"/>
    <numFmt numFmtId="181" formatCode="mmm\-yyyy"/>
    <numFmt numFmtId="182" formatCode="_-* #,##0.00_-;\-* #,##0.00_-;_-* &quot;-&quot;??_-;_-@_-"/>
    <numFmt numFmtId="183" formatCode="#,##0.0000;[Red]\(#,##0.0000\)"/>
    <numFmt numFmtId="184" formatCode="########.00"/>
    <numFmt numFmtId="185" formatCode="_-* #,##0\ _D_M_-;\-* #,##0\ _D_M_-;_-* &quot;-&quot;\ _D_M_-;_-@_-"/>
    <numFmt numFmtId="186" formatCode="_-* #,##0.00\ _D_M_-;\-* #,##0.00\ _D_M_-;_-* &quot;-&quot;??\ _D_M_-;_-@_-"/>
    <numFmt numFmtId="187" formatCode="_-[$€-2]\ * #,##0.00_-;\-[$€-2]\ * #,##0.00_-;_-[$€-2]\ * &quot;-&quot;??_-"/>
    <numFmt numFmtId="188" formatCode="#,##0.0_ ;\-#,##0.0\ "/>
    <numFmt numFmtId="189" formatCode="_(&quot;Cr$&quot;* #,##0_);_(&quot;Cr$&quot;* \(#,##0\);_(&quot;Cr$&quot;* \-_);_(@_)"/>
    <numFmt numFmtId="190" formatCode="_(&quot;Cr$&quot;* #,##0.00_);_(&quot;Cr$&quot;* \(#,##0.00\);_(&quot;Cr$&quot;* \-??_);_(@_)"/>
    <numFmt numFmtId="191" formatCode="#,##0&quot; F&quot;;[Red]\-#,##0&quot; F&quot;"/>
    <numFmt numFmtId="192" formatCode="#,##0.00&quot; F&quot;;[Red]\-#,##0.00&quot; F&quot;"/>
    <numFmt numFmtId="193" formatCode="#,##0\ &quot;F&quot;;[Red]\-#,##0\ &quot;F&quot;"/>
    <numFmt numFmtId="194" formatCode="_-* #,##0\ &quot;TL&quot;_-;\-* #,##0\ &quot;TL&quot;_-;_-* &quot;-&quot;\ &quot;TL&quot;_-;_-@_-"/>
    <numFmt numFmtId="195" formatCode="_-* #,##0.00\ &quot;TL&quot;_-;\-* #,##0.00\ &quot;TL&quot;_-;_-* &quot;-&quot;??\ &quot;TL&quot;_-;_-@_-"/>
    <numFmt numFmtId="196" formatCode="#,##0.00\ &quot;F&quot;;\-#,##0.00\ &quot;F&quot;"/>
    <numFmt numFmtId="197" formatCode="yy\-mm\-dd"/>
    <numFmt numFmtId="198" formatCode="_ * #,##0_)\ _R_$_ ;_ * \(#,##0&quot;) &quot;_R_$_ ;_ * \-_)\ _R_$_ ;_ @_ "/>
    <numFmt numFmtId="199" formatCode="_ * #,##0.00_)\ _R_$_ ;_ * \(#,##0.00&quot;) &quot;_R_$_ ;_ * \-??_)\ _R_$_ ;_ @_ "/>
    <numFmt numFmtId="200" formatCode="#,##0.00;&quot;-&quot;#,##0.00"/>
    <numFmt numFmtId="201" formatCode="#,##0.00;[Red]&quot;-&quot;#,##0.00"/>
    <numFmt numFmtId="202" formatCode="_-&quot;L.&quot;\ * #,##0_-;\-&quot;L.&quot;\ * #,##0_-;_-&quot;L.&quot;\ * &quot;-&quot;_-;_-@_-"/>
    <numFmt numFmtId="203" formatCode="_-* #,##0\ _T_L_-;\-* #,##0\ _T_L_-;_-* &quot;-&quot;\ _T_L_-;_-@_-"/>
    <numFmt numFmtId="204" formatCode="_-* #,##0\ &quot;DM&quot;_-;\-* #,##0\ &quot;DM&quot;_-;_-* &quot;-&quot;\ &quot;DM&quot;_-;_-@_-"/>
    <numFmt numFmtId="205" formatCode="_-* #,##0.00\ &quot;DM&quot;_-;\-* #,##0.00\ &quot;DM&quot;_-;_-* &quot;-&quot;??\ &quot;DM&quot;_-;_-@_-"/>
    <numFmt numFmtId="206" formatCode="0.0000"/>
    <numFmt numFmtId="207" formatCode="#,##0.000"/>
  </numFmts>
  <fonts count="1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color indexed="18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Agency FB"/>
      <family val="2"/>
    </font>
    <font>
      <sz val="12"/>
      <name val="Arial"/>
      <family val="2"/>
    </font>
    <font>
      <b/>
      <sz val="11"/>
      <color indexed="52"/>
      <name val="Agency FB"/>
      <family val="2"/>
    </font>
    <font>
      <sz val="10"/>
      <name val="MS Sans Serif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2"/>
      <color indexed="24"/>
      <name val="Times New Roman"/>
      <family val="1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62"/>
      <name val="Agency FB"/>
      <family val="2"/>
    </font>
    <font>
      <sz val="7"/>
      <name val="Small Fonts"/>
      <family val="2"/>
    </font>
    <font>
      <sz val="10"/>
      <name val="Arial CE"/>
      <charset val="238"/>
    </font>
    <font>
      <sz val="14"/>
      <name val="–¾’©"/>
      <family val="3"/>
      <charset val="129"/>
    </font>
    <font>
      <sz val="10"/>
      <name val="Arial Tur"/>
      <charset val="162"/>
    </font>
    <font>
      <b/>
      <sz val="10"/>
      <name val="MS Sans Serif"/>
      <family val="2"/>
    </font>
    <font>
      <sz val="8"/>
      <color indexed="10"/>
      <name val="Arial Narrow"/>
      <family val="2"/>
    </font>
    <font>
      <sz val="12"/>
      <name val="新細明體"/>
      <family val="1"/>
      <charset val="136"/>
    </font>
    <font>
      <sz val="11"/>
      <name val="ＭＳ Ｐゴシック"/>
      <family val="3"/>
      <charset val="128"/>
    </font>
    <font>
      <sz val="12"/>
      <name val="Calibri"/>
      <family val="2"/>
    </font>
    <font>
      <b/>
      <sz val="14"/>
      <color indexed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color indexed="8"/>
      <name val="Arial"/>
      <family val="2"/>
    </font>
    <font>
      <b/>
      <sz val="16"/>
      <color indexed="12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58"/>
      <name val="Arial"/>
      <family val="2"/>
    </font>
    <font>
      <b/>
      <sz val="11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Bookman Old Style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Bookman Old Style"/>
      <family val="1"/>
    </font>
    <font>
      <sz val="10"/>
      <color rgb="FFFF0000"/>
      <name val="Arial"/>
      <family val="2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1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0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40">
    <xf numFmtId="0" fontId="0" fillId="0" borderId="0"/>
    <xf numFmtId="0" fontId="4" fillId="0" borderId="0"/>
    <xf numFmtId="171" fontId="30" fillId="0" borderId="0" applyFont="0" applyFill="0" applyBorder="0" applyProtection="0">
      <alignment horizontal="center"/>
    </xf>
    <xf numFmtId="172" fontId="30" fillId="0" borderId="0" applyFont="0" applyFill="0" applyBorder="0" applyProtection="0">
      <alignment horizontal="center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32" fillId="0" borderId="0"/>
    <xf numFmtId="0" fontId="33" fillId="2" borderId="1">
      <alignment horizontal="center" vertical="center" wrapText="1"/>
    </xf>
    <xf numFmtId="0" fontId="4" fillId="0" borderId="1">
      <alignment horizontal="center" vertical="center" wrapText="1"/>
    </xf>
    <xf numFmtId="0" fontId="34" fillId="3" borderId="0">
      <alignment horizontal="center" vertical="center" wrapText="1"/>
    </xf>
    <xf numFmtId="0" fontId="35" fillId="4" borderId="0"/>
    <xf numFmtId="0" fontId="36" fillId="0" borderId="0"/>
    <xf numFmtId="0" fontId="37" fillId="0" borderId="0"/>
    <xf numFmtId="0" fontId="30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38" fontId="33" fillId="5" borderId="1">
      <alignment horizontal="right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38" fillId="6" borderId="2">
      <alignment vertical="center"/>
    </xf>
    <xf numFmtId="0" fontId="32" fillId="0" borderId="0"/>
    <xf numFmtId="0" fontId="4" fillId="0" borderId="0"/>
    <xf numFmtId="0" fontId="3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9" fillId="7" borderId="1">
      <alignment vertical="center" wrapText="1"/>
    </xf>
    <xf numFmtId="0" fontId="4" fillId="0" borderId="1">
      <alignment vertical="center" wrapText="1"/>
    </xf>
    <xf numFmtId="0" fontId="34" fillId="3" borderId="0"/>
    <xf numFmtId="0" fontId="35" fillId="4" borderId="0"/>
    <xf numFmtId="0" fontId="36" fillId="0" borderId="0"/>
    <xf numFmtId="0" fontId="37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0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7" borderId="0" applyNumberFormat="0" applyBorder="0" applyAlignment="0" applyProtection="0"/>
    <xf numFmtId="0" fontId="13" fillId="9" borderId="0" applyNumberFormat="0" applyBorder="0" applyAlignment="0" applyProtection="0"/>
    <xf numFmtId="173" fontId="3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43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176" fontId="4" fillId="0" borderId="0" applyFill="0" applyBorder="0" applyAlignment="0"/>
    <xf numFmtId="177" fontId="4" fillId="0" borderId="0" applyFill="0" applyBorder="0" applyAlignment="0"/>
    <xf numFmtId="43" fontId="4" fillId="0" borderId="0" applyFill="0" applyBorder="0" applyAlignment="0"/>
    <xf numFmtId="178" fontId="4" fillId="0" borderId="0" applyFill="0" applyBorder="0" applyAlignment="0"/>
    <xf numFmtId="174" fontId="4" fillId="0" borderId="0" applyFill="0" applyBorder="0" applyAlignment="0"/>
    <xf numFmtId="0" fontId="14" fillId="15" borderId="3" applyNumberFormat="0" applyAlignment="0" applyProtection="0"/>
    <xf numFmtId="0" fontId="42" fillId="15" borderId="3" applyNumberFormat="0" applyAlignment="0" applyProtection="0"/>
    <xf numFmtId="0" fontId="21" fillId="0" borderId="4" applyNumberFormat="0" applyFill="0" applyAlignment="0" applyProtection="0"/>
    <xf numFmtId="0" fontId="15" fillId="28" borderId="5" applyNumberFormat="0" applyAlignment="0" applyProtection="0"/>
    <xf numFmtId="0" fontId="15" fillId="28" borderId="5" applyNumberFormat="0" applyAlignment="0" applyProtection="0"/>
    <xf numFmtId="0" fontId="15" fillId="28" borderId="5" applyNumberFormat="0" applyAlignment="0" applyProtection="0"/>
    <xf numFmtId="0" fontId="15" fillId="28" borderId="5" applyNumberFormat="0" applyAlignment="0" applyProtection="0"/>
    <xf numFmtId="0" fontId="15" fillId="28" borderId="5" applyNumberFormat="0" applyAlignment="0" applyProtection="0"/>
    <xf numFmtId="0" fontId="15" fillId="28" borderId="5" applyNumberFormat="0" applyAlignment="0" applyProtection="0"/>
    <xf numFmtId="0" fontId="15" fillId="28" borderId="5" applyNumberFormat="0" applyAlignment="0" applyProtection="0"/>
    <xf numFmtId="0" fontId="15" fillId="28" borderId="5" applyNumberFormat="0" applyAlignment="0" applyProtection="0"/>
    <xf numFmtId="0" fontId="15" fillId="28" borderId="5" applyNumberFormat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7" borderId="0" applyNumberFormat="0" applyBorder="0" applyAlignment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64" fontId="4" fillId="0" borderId="0" applyFont="0" applyFill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0" fontId="4" fillId="0" borderId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4" fillId="29" borderId="0" applyBorder="0"/>
    <xf numFmtId="15" fontId="43" fillId="0" borderId="0"/>
    <xf numFmtId="14" fontId="26" fillId="0" borderId="0" applyFill="0" applyBorder="0" applyAlignment="0"/>
    <xf numFmtId="0" fontId="44" fillId="0" borderId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4" fillId="0" borderId="0" applyFill="0" applyBorder="0" applyAlignment="0"/>
    <xf numFmtId="174" fontId="4" fillId="0" borderId="0" applyFill="0" applyBorder="0" applyAlignment="0"/>
    <xf numFmtId="43" fontId="4" fillId="0" borderId="0" applyFill="0" applyBorder="0" applyAlignment="0"/>
    <xf numFmtId="178" fontId="4" fillId="0" borderId="0" applyFill="0" applyBorder="0" applyAlignment="0"/>
    <xf numFmtId="174" fontId="4" fillId="0" borderId="0" applyFill="0" applyBorder="0" applyAlignment="0"/>
    <xf numFmtId="187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Protection="0"/>
    <xf numFmtId="0" fontId="46" fillId="0" borderId="0" applyProtection="0"/>
    <xf numFmtId="0" fontId="47" fillId="0" borderId="0" applyProtection="0"/>
    <xf numFmtId="0" fontId="48" fillId="0" borderId="0" applyProtection="0"/>
    <xf numFmtId="0" fontId="49" fillId="0" borderId="0" applyProtection="0"/>
    <xf numFmtId="0" fontId="50" fillId="0" borderId="0" applyProtection="0"/>
    <xf numFmtId="0" fontId="51" fillId="0" borderId="0" applyProtection="0"/>
    <xf numFmtId="2" fontId="44" fillId="0" borderId="0" applyProtection="0"/>
    <xf numFmtId="0" fontId="17" fillId="10" borderId="0" applyNumberFormat="0" applyBorder="0" applyAlignment="0" applyProtection="0"/>
    <xf numFmtId="38" fontId="30" fillId="30" borderId="0" applyNumberFormat="0" applyBorder="0" applyAlignment="0" applyProtection="0"/>
    <xf numFmtId="0" fontId="5" fillId="0" borderId="6" applyNumberFormat="0" applyAlignment="0" applyProtection="0">
      <alignment horizontal="left" vertical="center"/>
    </xf>
    <xf numFmtId="0" fontId="5" fillId="0" borderId="7">
      <alignment horizontal="left" vertical="center"/>
    </xf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52" fillId="0" borderId="0" applyProtection="0"/>
    <xf numFmtId="0" fontId="53" fillId="0" borderId="0" applyProtection="0"/>
    <xf numFmtId="0" fontId="54" fillId="0" borderId="0" applyNumberFormat="0" applyFill="0" applyBorder="0" applyAlignment="0" applyProtection="0">
      <alignment vertical="top"/>
      <protection locked="0"/>
    </xf>
    <xf numFmtId="10" fontId="30" fillId="31" borderId="2" applyNumberFormat="0" applyBorder="0" applyAlignment="0" applyProtection="0"/>
    <xf numFmtId="0" fontId="55" fillId="14" borderId="3" applyNumberFormat="0" applyAlignment="0" applyProtection="0"/>
    <xf numFmtId="43" fontId="4" fillId="0" borderId="0" applyFill="0" applyBorder="0" applyAlignment="0"/>
    <xf numFmtId="174" fontId="4" fillId="0" borderId="0" applyFill="0" applyBorder="0" applyAlignment="0"/>
    <xf numFmtId="43" fontId="4" fillId="0" borderId="0" applyFill="0" applyBorder="0" applyAlignment="0"/>
    <xf numFmtId="178" fontId="4" fillId="0" borderId="0" applyFill="0" applyBorder="0" applyAlignment="0"/>
    <xf numFmtId="174" fontId="4" fillId="0" borderId="0" applyFill="0" applyBorder="0" applyAlignment="0"/>
    <xf numFmtId="0" fontId="21" fillId="0" borderId="4" applyNumberFormat="0" applyFill="0" applyAlignment="0" applyProtection="0"/>
    <xf numFmtId="18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8" fontId="4" fillId="0" borderId="0" applyFill="0" applyBorder="0" applyAlignment="0" applyProtection="0"/>
    <xf numFmtId="40" fontId="4" fillId="0" borderId="0" applyFill="0" applyBorder="0" applyAlignment="0" applyProtection="0"/>
    <xf numFmtId="189" fontId="4" fillId="0" borderId="0" applyFill="0" applyBorder="0" applyAlignment="0" applyProtection="0"/>
    <xf numFmtId="190" fontId="4" fillId="0" borderId="0" applyFill="0" applyBorder="0" applyAlignment="0" applyProtection="0"/>
    <xf numFmtId="191" fontId="4" fillId="0" borderId="0" applyFill="0" applyBorder="0" applyAlignment="0" applyProtection="0"/>
    <xf numFmtId="192" fontId="4" fillId="0" borderId="0" applyFill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37" fontId="56" fillId="0" borderId="0"/>
    <xf numFmtId="0" fontId="4" fillId="0" borderId="0"/>
    <xf numFmtId="0" fontId="4" fillId="0" borderId="0"/>
    <xf numFmtId="0" fontId="4" fillId="0" borderId="0"/>
    <xf numFmtId="193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4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4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4" fillId="33" borderId="11" applyNumberFormat="0" applyFont="0" applyAlignment="0" applyProtection="0"/>
    <xf numFmtId="0" fontId="4" fillId="33" borderId="11" applyNumberFormat="0" applyFont="0" applyAlignment="0" applyProtection="0"/>
    <xf numFmtId="0" fontId="4" fillId="33" borderId="11" applyNumberFormat="0" applyFont="0" applyAlignment="0" applyProtection="0"/>
    <xf numFmtId="0" fontId="4" fillId="33" borderId="11" applyNumberFormat="0" applyFont="0" applyAlignment="0" applyProtection="0"/>
    <xf numFmtId="0" fontId="4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0" fontId="1" fillId="33" borderId="11" applyNumberFormat="0" applyFont="0" applyAlignment="0" applyProtection="0"/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23" fillId="15" borderId="12" applyNumberFormat="0" applyAlignment="0" applyProtection="0"/>
    <xf numFmtId="194" fontId="59" fillId="0" borderId="0" applyFont="0" applyFill="0" applyBorder="0" applyAlignment="0" applyProtection="0"/>
    <xf numFmtId="195" fontId="59" fillId="0" borderId="0" applyFont="0" applyFill="0" applyBorder="0" applyAlignment="0" applyProtection="0"/>
    <xf numFmtId="9" fontId="74" fillId="0" borderId="0" applyFont="0" applyFill="0" applyBorder="0" applyAlignment="0" applyProtection="0"/>
    <xf numFmtId="177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43" fontId="4" fillId="0" borderId="0" applyFill="0" applyBorder="0" applyAlignment="0"/>
    <xf numFmtId="174" fontId="4" fillId="0" borderId="0" applyFill="0" applyBorder="0" applyAlignment="0"/>
    <xf numFmtId="43" fontId="4" fillId="0" borderId="0" applyFill="0" applyBorder="0" applyAlignment="0"/>
    <xf numFmtId="178" fontId="4" fillId="0" borderId="0" applyFill="0" applyBorder="0" applyAlignment="0"/>
    <xf numFmtId="174" fontId="4" fillId="0" borderId="0" applyFill="0" applyBorder="0" applyAlignment="0"/>
    <xf numFmtId="0" fontId="4" fillId="0" borderId="0" applyNumberFormat="0" applyFill="0" applyBorder="0" applyAlignment="0" applyProtection="0"/>
    <xf numFmtId="15" fontId="4" fillId="0" borderId="0" applyFill="0" applyBorder="0" applyAlignment="0" applyProtection="0"/>
    <xf numFmtId="4" fontId="4" fillId="0" borderId="0" applyFill="0" applyBorder="0" applyAlignment="0" applyProtection="0"/>
    <xf numFmtId="0" fontId="60" fillId="0" borderId="13">
      <alignment horizontal="center"/>
    </xf>
    <xf numFmtId="3" fontId="4" fillId="0" borderId="0" applyFill="0" applyBorder="0" applyAlignment="0" applyProtection="0"/>
    <xf numFmtId="0" fontId="4" fillId="34" borderId="0" applyNumberFormat="0" applyBorder="0" applyAlignment="0" applyProtection="0"/>
    <xf numFmtId="197" fontId="30" fillId="0" borderId="0" applyFont="0" applyFill="0" applyBorder="0" applyProtection="0">
      <alignment horizontal="center"/>
    </xf>
    <xf numFmtId="198" fontId="4" fillId="0" borderId="0" applyFill="0" applyBorder="0" applyAlignment="0" applyProtection="0"/>
    <xf numFmtId="199" fontId="4" fillId="0" borderId="0" applyFill="0" applyBorder="0" applyAlignment="0" applyProtection="0"/>
    <xf numFmtId="192" fontId="43" fillId="0" borderId="0">
      <alignment horizont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9" fontId="26" fillId="0" borderId="0" applyFill="0" applyBorder="0" applyAlignment="0"/>
    <xf numFmtId="200" fontId="4" fillId="0" borderId="0" applyFill="0" applyBorder="0" applyAlignment="0"/>
    <xf numFmtId="201" fontId="4" fillId="0" borderId="0" applyFill="0" applyBorder="0" applyAlignment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41" fontId="4" fillId="0" borderId="0">
      <alignment horizontal="left"/>
    </xf>
    <xf numFmtId="0" fontId="61" fillId="0" borderId="0">
      <alignment vertical="top"/>
    </xf>
    <xf numFmtId="0" fontId="13" fillId="9" borderId="0" applyNumberFormat="0" applyBorder="0" applyAlignment="0" applyProtection="0"/>
    <xf numFmtId="0" fontId="17" fillId="10" borderId="0" applyNumberFormat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3" fontId="59" fillId="0" borderId="0" applyFont="0" applyFill="0" applyBorder="0" applyAlignment="0" applyProtection="0"/>
    <xf numFmtId="182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62" fillId="0" borderId="0">
      <alignment vertical="center"/>
    </xf>
    <xf numFmtId="0" fontId="63" fillId="0" borderId="0">
      <alignment vertical="center"/>
    </xf>
  </cellStyleXfs>
  <cellXfs count="1169">
    <xf numFmtId="0" fontId="0" fillId="0" borderId="0" xfId="0"/>
    <xf numFmtId="0" fontId="0" fillId="0" borderId="0" xfId="0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5" fillId="36" borderId="20" xfId="0" applyFont="1" applyFill="1" applyBorder="1" applyAlignment="1">
      <alignment horizontal="left" vertical="center" wrapText="1"/>
    </xf>
    <xf numFmtId="0" fontId="76" fillId="37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38" borderId="20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2" fontId="0" fillId="0" borderId="22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9" fontId="5" fillId="5" borderId="22" xfId="462" applyFont="1" applyFill="1" applyBorder="1" applyAlignment="1">
      <alignment horizontal="center" vertical="center"/>
    </xf>
    <xf numFmtId="2" fontId="76" fillId="39" borderId="28" xfId="0" applyNumberFormat="1" applyFont="1" applyFill="1" applyBorder="1" applyAlignment="1">
      <alignment horizontal="center" vertical="center"/>
    </xf>
    <xf numFmtId="2" fontId="76" fillId="39" borderId="29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0" fontId="5" fillId="5" borderId="22" xfId="462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77" fillId="39" borderId="30" xfId="0" applyFont="1" applyFill="1" applyBorder="1" applyAlignment="1">
      <alignment vertical="center"/>
    </xf>
    <xf numFmtId="2" fontId="77" fillId="39" borderId="28" xfId="0" applyNumberFormat="1" applyFont="1" applyFill="1" applyBorder="1" applyAlignment="1">
      <alignment vertical="center"/>
    </xf>
    <xf numFmtId="2" fontId="77" fillId="39" borderId="31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2" fontId="75" fillId="0" borderId="2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77" fillId="40" borderId="30" xfId="0" applyFont="1" applyFill="1" applyBorder="1" applyAlignment="1">
      <alignment vertical="center"/>
    </xf>
    <xf numFmtId="0" fontId="77" fillId="40" borderId="31" xfId="0" applyFont="1" applyFill="1" applyBorder="1" applyAlignment="1">
      <alignment vertical="center"/>
    </xf>
    <xf numFmtId="0" fontId="0" fillId="0" borderId="15" xfId="0" applyBorder="1" applyAlignment="1">
      <alignment horizontal="center"/>
    </xf>
    <xf numFmtId="0" fontId="75" fillId="37" borderId="20" xfId="0" applyFont="1" applyFill="1" applyBorder="1" applyAlignment="1">
      <alignment horizontal="center" vertical="center" wrapText="1"/>
    </xf>
    <xf numFmtId="0" fontId="75" fillId="36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20" xfId="0" applyNumberFormat="1" applyFont="1" applyBorder="1" applyAlignment="1">
      <alignment horizontal="center" vertical="center"/>
    </xf>
    <xf numFmtId="0" fontId="0" fillId="39" borderId="20" xfId="0" applyFont="1" applyFill="1" applyBorder="1" applyAlignment="1">
      <alignment horizontal="center" vertical="center"/>
    </xf>
    <xf numFmtId="0" fontId="0" fillId="0" borderId="34" xfId="0" applyBorder="1"/>
    <xf numFmtId="0" fontId="0" fillId="0" borderId="2" xfId="0" applyBorder="1"/>
    <xf numFmtId="0" fontId="0" fillId="43" borderId="20" xfId="0" applyFont="1" applyFill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0" fillId="44" borderId="20" xfId="0" applyFont="1" applyFill="1" applyBorder="1" applyAlignment="1">
      <alignment horizontal="center" vertical="center"/>
    </xf>
    <xf numFmtId="0" fontId="0" fillId="44" borderId="20" xfId="0" applyFill="1" applyBorder="1" applyAlignment="1">
      <alignment horizontal="center" vertical="center"/>
    </xf>
    <xf numFmtId="14" fontId="0" fillId="44" borderId="20" xfId="0" applyNumberFormat="1" applyFill="1" applyBorder="1" applyAlignment="1">
      <alignment horizontal="center" vertical="center"/>
    </xf>
    <xf numFmtId="0" fontId="0" fillId="44" borderId="0" xfId="0" applyFill="1"/>
    <xf numFmtId="0" fontId="0" fillId="0" borderId="15" xfId="0" applyFont="1" applyFill="1" applyBorder="1" applyAlignment="1">
      <alignment horizontal="right" vertical="center"/>
    </xf>
    <xf numFmtId="0" fontId="78" fillId="0" borderId="26" xfId="0" applyFont="1" applyBorder="1" applyAlignment="1">
      <alignment horizontal="center" vertical="center"/>
    </xf>
    <xf numFmtId="0" fontId="78" fillId="0" borderId="32" xfId="0" applyFont="1" applyBorder="1"/>
    <xf numFmtId="3" fontId="78" fillId="0" borderId="2" xfId="0" applyNumberFormat="1" applyFont="1" applyBorder="1" applyAlignment="1">
      <alignment horizontal="center" vertical="center"/>
    </xf>
    <xf numFmtId="3" fontId="78" fillId="0" borderId="35" xfId="0" applyNumberFormat="1" applyFont="1" applyBorder="1" applyAlignment="1">
      <alignment horizontal="center" vertical="center"/>
    </xf>
    <xf numFmtId="0" fontId="78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right"/>
    </xf>
    <xf numFmtId="3" fontId="0" fillId="0" borderId="3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0" fillId="0" borderId="32" xfId="0" applyBorder="1"/>
    <xf numFmtId="3" fontId="75" fillId="0" borderId="36" xfId="0" applyNumberFormat="1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4" fontId="78" fillId="0" borderId="35" xfId="0" applyNumberFormat="1" applyFont="1" applyBorder="1" applyAlignment="1">
      <alignment horizontal="center" vertical="center"/>
    </xf>
    <xf numFmtId="0" fontId="79" fillId="0" borderId="0" xfId="0" applyFont="1" applyFill="1" applyBorder="1"/>
    <xf numFmtId="0" fontId="78" fillId="0" borderId="27" xfId="0" applyFont="1" applyBorder="1" applyAlignment="1">
      <alignment horizontal="center"/>
    </xf>
    <xf numFmtId="0" fontId="78" fillId="0" borderId="38" xfId="0" applyFont="1" applyBorder="1" applyAlignment="1">
      <alignment vertical="center"/>
    </xf>
    <xf numFmtId="3" fontId="79" fillId="0" borderId="38" xfId="0" applyNumberFormat="1" applyFont="1" applyBorder="1" applyAlignment="1">
      <alignment horizontal="center" vertical="center"/>
    </xf>
    <xf numFmtId="0" fontId="78" fillId="0" borderId="39" xfId="0" applyFont="1" applyBorder="1"/>
    <xf numFmtId="0" fontId="0" fillId="0" borderId="26" xfId="0" applyBorder="1" applyAlignment="1">
      <alignment horizontal="center"/>
    </xf>
    <xf numFmtId="0" fontId="78" fillId="0" borderId="2" xfId="0" applyFont="1" applyFill="1" applyBorder="1"/>
    <xf numFmtId="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32" xfId="0" applyBorder="1"/>
    <xf numFmtId="0" fontId="0" fillId="0" borderId="40" xfId="0" applyBorder="1" applyAlignment="1">
      <alignment horizontal="center"/>
    </xf>
    <xf numFmtId="0" fontId="78" fillId="0" borderId="41" xfId="0" applyFont="1" applyFill="1" applyBorder="1"/>
    <xf numFmtId="4" fontId="0" fillId="0" borderId="41" xfId="0" applyNumberFormat="1" applyBorder="1" applyAlignment="1">
      <alignment horizontal="center"/>
    </xf>
    <xf numFmtId="0" fontId="0" fillId="0" borderId="41" xfId="0" applyBorder="1"/>
    <xf numFmtId="0" fontId="0" fillId="0" borderId="2" xfId="0" applyBorder="1" applyAlignment="1">
      <alignment horizontal="center"/>
    </xf>
    <xf numFmtId="0" fontId="0" fillId="0" borderId="41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79" fillId="0" borderId="26" xfId="0" applyFont="1" applyBorder="1" applyAlignment="1">
      <alignment horizontal="center" vertical="center"/>
    </xf>
    <xf numFmtId="0" fontId="79" fillId="0" borderId="2" xfId="0" applyFont="1" applyBorder="1" applyAlignment="1">
      <alignment horizontal="center" vertical="center"/>
    </xf>
    <xf numFmtId="0" fontId="79" fillId="0" borderId="35" xfId="0" applyFont="1" applyBorder="1" applyAlignment="1">
      <alignment horizontal="center" vertical="center" wrapText="1"/>
    </xf>
    <xf numFmtId="0" fontId="79" fillId="0" borderId="35" xfId="0" applyFont="1" applyBorder="1" applyAlignment="1">
      <alignment horizontal="center" vertical="center"/>
    </xf>
    <xf numFmtId="0" fontId="79" fillId="0" borderId="32" xfId="0" applyFont="1" applyBorder="1" applyAlignment="1">
      <alignment horizontal="center" vertical="center"/>
    </xf>
    <xf numFmtId="0" fontId="78" fillId="0" borderId="2" xfId="0" applyFont="1" applyBorder="1" applyAlignment="1">
      <alignment vertical="center"/>
    </xf>
    <xf numFmtId="0" fontId="78" fillId="0" borderId="32" xfId="0" applyFont="1" applyBorder="1" applyAlignment="1">
      <alignment vertical="center"/>
    </xf>
    <xf numFmtId="0" fontId="80" fillId="0" borderId="32" xfId="0" applyFont="1" applyBorder="1" applyAlignment="1">
      <alignment vertical="center"/>
    </xf>
    <xf numFmtId="3" fontId="78" fillId="0" borderId="42" xfId="0" applyNumberFormat="1" applyFont="1" applyBorder="1" applyAlignment="1">
      <alignment horizontal="center" vertical="center"/>
    </xf>
    <xf numFmtId="3" fontId="79" fillId="0" borderId="43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21" xfId="0" applyBorder="1" applyAlignment="1">
      <alignment horizontal="center" vertical="center"/>
    </xf>
    <xf numFmtId="0" fontId="79" fillId="0" borderId="2" xfId="0" applyFont="1" applyBorder="1" applyAlignment="1">
      <alignment horizontal="center" vertical="center" wrapText="1"/>
    </xf>
    <xf numFmtId="0" fontId="78" fillId="0" borderId="2" xfId="0" applyFont="1" applyBorder="1" applyAlignment="1">
      <alignment horizontal="center" vertical="center"/>
    </xf>
    <xf numFmtId="0" fontId="78" fillId="0" borderId="38" xfId="0" applyFont="1" applyBorder="1" applyAlignment="1">
      <alignment horizontal="center" vertical="center"/>
    </xf>
    <xf numFmtId="0" fontId="79" fillId="0" borderId="2" xfId="0" applyFont="1" applyFill="1" applyBorder="1"/>
    <xf numFmtId="0" fontId="79" fillId="0" borderId="41" xfId="0" applyFont="1" applyFill="1" applyBorder="1"/>
    <xf numFmtId="0" fontId="79" fillId="0" borderId="2" xfId="0" applyFont="1" applyBorder="1" applyAlignment="1">
      <alignment horizontal="right" vertical="center"/>
    </xf>
    <xf numFmtId="0" fontId="79" fillId="0" borderId="38" xfId="0" applyFont="1" applyBorder="1" applyAlignment="1">
      <alignment vertical="center"/>
    </xf>
    <xf numFmtId="0" fontId="78" fillId="0" borderId="2" xfId="0" applyFont="1" applyBorder="1" applyAlignment="1">
      <alignment vertical="center" wrapText="1"/>
    </xf>
    <xf numFmtId="0" fontId="0" fillId="42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Border="1"/>
    <xf numFmtId="0" fontId="0" fillId="39" borderId="21" xfId="0" applyFont="1" applyFill="1" applyBorder="1" applyAlignment="1">
      <alignment horizontal="center" vertical="center"/>
    </xf>
    <xf numFmtId="0" fontId="4" fillId="0" borderId="21" xfId="354" applyFont="1" applyFill="1" applyBorder="1" applyAlignment="1">
      <alignment horizontal="left" vertical="center" wrapText="1"/>
    </xf>
    <xf numFmtId="0" fontId="81" fillId="0" borderId="21" xfId="0" applyFont="1" applyFill="1" applyBorder="1" applyAlignment="1">
      <alignment horizontal="left" vertical="center" wrapText="1"/>
    </xf>
    <xf numFmtId="0" fontId="4" fillId="44" borderId="21" xfId="354" applyFont="1" applyFill="1" applyBorder="1" applyAlignment="1">
      <alignment horizontal="left" vertical="center" wrapText="1"/>
    </xf>
    <xf numFmtId="0" fontId="82" fillId="0" borderId="21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78" fillId="0" borderId="35" xfId="0" applyFont="1" applyBorder="1" applyAlignment="1">
      <alignment horizontal="center" vertical="center"/>
    </xf>
    <xf numFmtId="4" fontId="78" fillId="39" borderId="35" xfId="0" applyNumberFormat="1" applyFont="1" applyFill="1" applyBorder="1" applyAlignment="1">
      <alignment horizontal="center" vertical="center"/>
    </xf>
    <xf numFmtId="0" fontId="79" fillId="0" borderId="43" xfId="0" applyFont="1" applyBorder="1" applyAlignment="1">
      <alignment horizontal="center" vertical="center"/>
    </xf>
    <xf numFmtId="3" fontId="79" fillId="0" borderId="2" xfId="0" applyNumberFormat="1" applyFont="1" applyBorder="1" applyAlignment="1">
      <alignment horizontal="center" vertical="center"/>
    </xf>
    <xf numFmtId="0" fontId="79" fillId="0" borderId="35" xfId="0" applyFont="1" applyBorder="1"/>
    <xf numFmtId="0" fontId="75" fillId="0" borderId="0" xfId="0" applyFont="1" applyAlignment="1">
      <alignment horizontal="right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75" fillId="0" borderId="2" xfId="0" applyFont="1" applyBorder="1" applyAlignment="1">
      <alignment horizontal="left" vertical="center" wrapText="1"/>
    </xf>
    <xf numFmtId="0" fontId="0" fillId="0" borderId="2" xfId="0" quotePrefix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 wrapText="1"/>
    </xf>
    <xf numFmtId="0" fontId="75" fillId="0" borderId="2" xfId="0" applyFont="1" applyBorder="1"/>
    <xf numFmtId="0" fontId="0" fillId="0" borderId="2" xfId="0" applyFill="1" applyBorder="1" applyAlignment="1">
      <alignment vertical="center" wrapText="1"/>
    </xf>
    <xf numFmtId="0" fontId="0" fillId="0" borderId="2" xfId="0" quotePrefix="1" applyBorder="1"/>
    <xf numFmtId="0" fontId="83" fillId="37" borderId="4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75" fillId="36" borderId="43" xfId="0" applyNumberFormat="1" applyFont="1" applyFill="1" applyBorder="1" applyAlignment="1">
      <alignment horizontal="center" vertical="center" wrapText="1"/>
    </xf>
    <xf numFmtId="0" fontId="75" fillId="36" borderId="43" xfId="0" applyFont="1" applyFill="1" applyBorder="1" applyAlignment="1">
      <alignment horizontal="center" vertical="center" wrapText="1"/>
    </xf>
    <xf numFmtId="0" fontId="82" fillId="0" borderId="0" xfId="0" applyFont="1" applyAlignment="1">
      <alignment vertical="center" wrapText="1"/>
    </xf>
    <xf numFmtId="0" fontId="84" fillId="0" borderId="0" xfId="0" applyFont="1" applyAlignment="1">
      <alignment vertical="center" wrapText="1"/>
    </xf>
    <xf numFmtId="0" fontId="84" fillId="0" borderId="15" xfId="0" applyFont="1" applyFill="1" applyBorder="1" applyAlignment="1">
      <alignment horizontal="center" vertical="center" wrapText="1"/>
    </xf>
    <xf numFmtId="1" fontId="84" fillId="0" borderId="15" xfId="0" applyNumberFormat="1" applyFont="1" applyFill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center" vertical="center" wrapText="1"/>
    </xf>
    <xf numFmtId="169" fontId="84" fillId="0" borderId="15" xfId="0" applyNumberFormat="1" applyFont="1" applyFill="1" applyBorder="1" applyAlignment="1">
      <alignment horizontal="center" vertical="center" wrapText="1"/>
    </xf>
    <xf numFmtId="0" fontId="84" fillId="0" borderId="15" xfId="0" applyFont="1" applyFill="1" applyBorder="1" applyAlignment="1">
      <alignment vertical="center" wrapText="1"/>
    </xf>
    <xf numFmtId="14" fontId="84" fillId="0" borderId="15" xfId="0" applyNumberFormat="1" applyFont="1" applyFill="1" applyBorder="1" applyAlignment="1">
      <alignment horizontal="center" vertical="center" wrapText="1"/>
    </xf>
    <xf numFmtId="0" fontId="84" fillId="0" borderId="15" xfId="0" applyFont="1" applyBorder="1" applyAlignment="1">
      <alignment vertical="center" wrapText="1"/>
    </xf>
    <xf numFmtId="0" fontId="84" fillId="0" borderId="17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right" vertical="center" wrapText="1"/>
    </xf>
    <xf numFmtId="169" fontId="84" fillId="0" borderId="0" xfId="0" applyNumberFormat="1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horizontal="center" vertical="center" wrapText="1"/>
    </xf>
    <xf numFmtId="14" fontId="84" fillId="0" borderId="0" xfId="0" applyNumberFormat="1" applyFont="1" applyFill="1" applyBorder="1" applyAlignment="1">
      <alignment horizontal="center" vertical="center" wrapText="1"/>
    </xf>
    <xf numFmtId="0" fontId="84" fillId="0" borderId="46" xfId="0" applyFont="1" applyFill="1" applyBorder="1" applyAlignment="1">
      <alignment horizontal="center" vertical="center" wrapText="1"/>
    </xf>
    <xf numFmtId="0" fontId="84" fillId="0" borderId="19" xfId="0" applyFont="1" applyFill="1" applyBorder="1" applyAlignment="1">
      <alignment vertical="center" wrapText="1"/>
    </xf>
    <xf numFmtId="169" fontId="84" fillId="0" borderId="19" xfId="0" applyNumberFormat="1" applyFont="1" applyFill="1" applyBorder="1" applyAlignment="1">
      <alignment horizontal="center" vertical="center" wrapText="1"/>
    </xf>
    <xf numFmtId="14" fontId="84" fillId="0" borderId="19" xfId="0" applyNumberFormat="1" applyFont="1" applyFill="1" applyBorder="1" applyAlignment="1">
      <alignment horizontal="center" vertical="center" wrapText="1"/>
    </xf>
    <xf numFmtId="0" fontId="29" fillId="35" borderId="24" xfId="0" applyFont="1" applyFill="1" applyBorder="1" applyAlignment="1">
      <alignment horizontal="right" vertical="center" wrapText="1"/>
    </xf>
    <xf numFmtId="2" fontId="84" fillId="0" borderId="15" xfId="0" applyNumberFormat="1" applyFont="1" applyFill="1" applyBorder="1" applyAlignment="1">
      <alignment horizontal="center" vertical="center" wrapText="1"/>
    </xf>
    <xf numFmtId="0" fontId="84" fillId="0" borderId="15" xfId="0" applyFont="1" applyFill="1" applyBorder="1" applyAlignment="1">
      <alignment horizontal="left" vertical="center" wrapText="1"/>
    </xf>
    <xf numFmtId="0" fontId="85" fillId="0" borderId="15" xfId="0" applyFont="1" applyFill="1" applyBorder="1" applyAlignment="1">
      <alignment horizontal="right" vertical="center" wrapText="1"/>
    </xf>
    <xf numFmtId="1" fontId="84" fillId="0" borderId="15" xfId="0" applyNumberFormat="1" applyFont="1" applyFill="1" applyBorder="1" applyAlignment="1">
      <alignment vertical="center" wrapText="1"/>
    </xf>
    <xf numFmtId="1" fontId="84" fillId="0" borderId="15" xfId="0" applyNumberFormat="1" applyFont="1" applyBorder="1" applyAlignment="1">
      <alignment vertical="center" wrapText="1"/>
    </xf>
    <xf numFmtId="0" fontId="84" fillId="0" borderId="17" xfId="0" applyFont="1" applyBorder="1" applyAlignment="1">
      <alignment vertical="center" wrapText="1"/>
    </xf>
    <xf numFmtId="0" fontId="84" fillId="0" borderId="16" xfId="0" applyFont="1" applyBorder="1" applyAlignment="1">
      <alignment vertical="center" wrapText="1"/>
    </xf>
    <xf numFmtId="1" fontId="84" fillId="0" borderId="16" xfId="0" applyNumberFormat="1" applyFont="1" applyBorder="1" applyAlignment="1">
      <alignment vertical="center" wrapText="1"/>
    </xf>
    <xf numFmtId="0" fontId="84" fillId="0" borderId="18" xfId="0" applyFont="1" applyBorder="1" applyAlignment="1">
      <alignment vertical="center" wrapText="1"/>
    </xf>
    <xf numFmtId="1" fontId="84" fillId="0" borderId="0" xfId="0" applyNumberFormat="1" applyFont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84" fillId="41" borderId="15" xfId="0" applyFont="1" applyFill="1" applyBorder="1" applyAlignment="1">
      <alignment horizontal="center" vertical="center" wrapText="1"/>
    </xf>
    <xf numFmtId="0" fontId="84" fillId="39" borderId="19" xfId="0" applyFont="1" applyFill="1" applyBorder="1" applyAlignment="1">
      <alignment horizontal="center" vertical="center" wrapText="1"/>
    </xf>
    <xf numFmtId="0" fontId="84" fillId="39" borderId="15" xfId="0" applyFont="1" applyFill="1" applyBorder="1" applyAlignment="1">
      <alignment horizontal="center" vertical="center" wrapText="1"/>
    </xf>
    <xf numFmtId="0" fontId="78" fillId="0" borderId="2" xfId="0" applyFont="1" applyFill="1" applyBorder="1" applyAlignment="1">
      <alignment horizontal="center" vertical="center"/>
    </xf>
    <xf numFmtId="0" fontId="82" fillId="0" borderId="47" xfId="0" applyFont="1" applyBorder="1" applyAlignment="1">
      <alignment horizontal="center" vertical="center" wrapText="1"/>
    </xf>
    <xf numFmtId="0" fontId="82" fillId="0" borderId="48" xfId="0" applyFont="1" applyFill="1" applyBorder="1" applyAlignment="1">
      <alignment horizontal="center" vertical="center" wrapText="1"/>
    </xf>
    <xf numFmtId="169" fontId="82" fillId="0" borderId="48" xfId="0" applyNumberFormat="1" applyFont="1" applyFill="1" applyBorder="1" applyAlignment="1">
      <alignment horizontal="center" vertical="center" wrapText="1"/>
    </xf>
    <xf numFmtId="0" fontId="82" fillId="41" borderId="48" xfId="0" applyFont="1" applyFill="1" applyBorder="1" applyAlignment="1">
      <alignment horizontal="center" vertical="center" wrapText="1"/>
    </xf>
    <xf numFmtId="0" fontId="82" fillId="0" borderId="48" xfId="0" applyFont="1" applyFill="1" applyBorder="1" applyAlignment="1">
      <alignment vertical="center" wrapText="1"/>
    </xf>
    <xf numFmtId="14" fontId="4" fillId="0" borderId="48" xfId="354" applyNumberFormat="1" applyFont="1" applyFill="1" applyBorder="1" applyAlignment="1">
      <alignment horizontal="center" vertical="center" wrapText="1"/>
    </xf>
    <xf numFmtId="14" fontId="82" fillId="0" borderId="49" xfId="0" applyNumberFormat="1" applyFont="1" applyFill="1" applyBorder="1" applyAlignment="1">
      <alignment horizontal="center" vertical="center" wrapText="1"/>
    </xf>
    <xf numFmtId="0" fontId="82" fillId="0" borderId="50" xfId="0" applyFont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82" fillId="0" borderId="21" xfId="0" applyFont="1" applyFill="1" applyBorder="1" applyAlignment="1">
      <alignment horizontal="center" vertical="center" wrapText="1"/>
    </xf>
    <xf numFmtId="169" fontId="82" fillId="0" borderId="21" xfId="0" applyNumberFormat="1" applyFont="1" applyFill="1" applyBorder="1" applyAlignment="1">
      <alignment horizontal="center" vertical="center" wrapText="1"/>
    </xf>
    <xf numFmtId="0" fontId="82" fillId="41" borderId="21" xfId="0" applyFont="1" applyFill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 wrapText="1"/>
    </xf>
    <xf numFmtId="14" fontId="4" fillId="0" borderId="21" xfId="354" applyNumberFormat="1" applyFont="1" applyFill="1" applyBorder="1" applyAlignment="1">
      <alignment horizontal="center" vertical="center" wrapText="1"/>
    </xf>
    <xf numFmtId="0" fontId="82" fillId="0" borderId="51" xfId="0" applyFont="1" applyFill="1" applyBorder="1" applyAlignment="1">
      <alignment horizontal="center" vertical="center" wrapText="1"/>
    </xf>
    <xf numFmtId="0" fontId="26" fillId="35" borderId="21" xfId="0" applyFont="1" applyFill="1" applyBorder="1" applyAlignment="1">
      <alignment horizontal="left" vertical="center" wrapText="1"/>
    </xf>
    <xf numFmtId="0" fontId="4" fillId="0" borderId="21" xfId="373" applyFont="1" applyFill="1" applyBorder="1" applyAlignment="1">
      <alignment horizontal="left" vertical="center" wrapText="1"/>
    </xf>
    <xf numFmtId="0" fontId="82" fillId="39" borderId="21" xfId="0" applyFont="1" applyFill="1" applyBorder="1" applyAlignment="1">
      <alignment horizontal="center" vertical="center" wrapText="1"/>
    </xf>
    <xf numFmtId="14" fontId="82" fillId="0" borderId="51" xfId="0" applyNumberFormat="1" applyFont="1" applyFill="1" applyBorder="1" applyAlignment="1">
      <alignment horizontal="center" vertical="center" wrapText="1"/>
    </xf>
    <xf numFmtId="0" fontId="4" fillId="0" borderId="21" xfId="354" applyFont="1" applyFill="1" applyBorder="1" applyAlignment="1">
      <alignment horizontal="center" vertical="center" wrapText="1"/>
    </xf>
    <xf numFmtId="14" fontId="4" fillId="39" borderId="21" xfId="354" applyNumberFormat="1" applyFont="1" applyFill="1" applyBorder="1" applyAlignment="1">
      <alignment horizontal="center" vertical="center" wrapText="1"/>
    </xf>
    <xf numFmtId="0" fontId="82" fillId="45" borderId="50" xfId="0" applyFont="1" applyFill="1" applyBorder="1" applyAlignment="1">
      <alignment horizontal="center" vertical="center" wrapText="1"/>
    </xf>
    <xf numFmtId="0" fontId="82" fillId="0" borderId="52" xfId="0" applyFont="1" applyFill="1" applyBorder="1" applyAlignment="1">
      <alignment horizontal="center" vertical="center" wrapText="1"/>
    </xf>
    <xf numFmtId="0" fontId="27" fillId="35" borderId="53" xfId="0" applyFont="1" applyFill="1" applyBorder="1" applyAlignment="1">
      <alignment horizontal="right" vertical="center" wrapText="1"/>
    </xf>
    <xf numFmtId="169" fontId="82" fillId="0" borderId="53" xfId="0" applyNumberFormat="1" applyFont="1" applyFill="1" applyBorder="1" applyAlignment="1">
      <alignment horizontal="center" vertical="center" wrapText="1"/>
    </xf>
    <xf numFmtId="0" fontId="82" fillId="0" borderId="53" xfId="0" applyFont="1" applyFill="1" applyBorder="1" applyAlignment="1">
      <alignment horizontal="center" vertical="center" wrapText="1"/>
    </xf>
    <xf numFmtId="0" fontId="82" fillId="0" borderId="53" xfId="0" applyFont="1" applyFill="1" applyBorder="1" applyAlignment="1">
      <alignment vertical="center" wrapText="1"/>
    </xf>
    <xf numFmtId="14" fontId="4" fillId="0" borderId="53" xfId="354" applyNumberFormat="1" applyFont="1" applyFill="1" applyBorder="1" applyAlignment="1">
      <alignment horizontal="center" vertical="center" wrapText="1"/>
    </xf>
    <xf numFmtId="0" fontId="82" fillId="0" borderId="54" xfId="0" applyFont="1" applyFill="1" applyBorder="1" applyAlignment="1">
      <alignment horizontal="center" vertical="center" wrapText="1"/>
    </xf>
    <xf numFmtId="0" fontId="86" fillId="45" borderId="32" xfId="0" applyFont="1" applyFill="1" applyBorder="1" applyAlignment="1">
      <alignment horizontal="center" vertical="center" wrapText="1"/>
    </xf>
    <xf numFmtId="0" fontId="28" fillId="35" borderId="21" xfId="0" applyFont="1" applyFill="1" applyBorder="1" applyAlignment="1">
      <alignment horizontal="left" vertical="center" wrapText="1"/>
    </xf>
    <xf numFmtId="0" fontId="84" fillId="0" borderId="21" xfId="0" applyFont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0" fillId="0" borderId="2" xfId="0" applyFill="1" applyBorder="1"/>
    <xf numFmtId="0" fontId="82" fillId="45" borderId="55" xfId="0" applyFont="1" applyFill="1" applyBorder="1" applyAlignment="1">
      <alignment horizontal="center" vertical="center" wrapText="1"/>
    </xf>
    <xf numFmtId="0" fontId="26" fillId="35" borderId="22" xfId="0" applyFont="1" applyFill="1" applyBorder="1" applyAlignment="1">
      <alignment horizontal="left" vertical="center" wrapText="1"/>
    </xf>
    <xf numFmtId="0" fontId="82" fillId="0" borderId="22" xfId="0" applyFont="1" applyFill="1" applyBorder="1" applyAlignment="1">
      <alignment horizontal="center" vertical="center" wrapText="1"/>
    </xf>
    <xf numFmtId="169" fontId="82" fillId="0" borderId="22" xfId="0" applyNumberFormat="1" applyFont="1" applyFill="1" applyBorder="1" applyAlignment="1">
      <alignment horizontal="center" vertical="center" wrapText="1"/>
    </xf>
    <xf numFmtId="0" fontId="82" fillId="39" borderId="22" xfId="0" applyFont="1" applyFill="1" applyBorder="1" applyAlignment="1">
      <alignment horizontal="center" vertical="center" wrapText="1"/>
    </xf>
    <xf numFmtId="0" fontId="82" fillId="0" borderId="22" xfId="0" applyFont="1" applyFill="1" applyBorder="1" applyAlignment="1">
      <alignment vertical="center" wrapText="1"/>
    </xf>
    <xf numFmtId="0" fontId="82" fillId="0" borderId="56" xfId="0" applyFont="1" applyFill="1" applyBorder="1" applyAlignment="1">
      <alignment horizontal="center" vertical="center" wrapText="1"/>
    </xf>
    <xf numFmtId="14" fontId="4" fillId="0" borderId="22" xfId="354" applyNumberFormat="1" applyFont="1" applyFill="1" applyBorder="1" applyAlignment="1">
      <alignment horizontal="center" vertical="center" wrapText="1"/>
    </xf>
    <xf numFmtId="0" fontId="86" fillId="45" borderId="46" xfId="0" applyFont="1" applyFill="1" applyBorder="1" applyAlignment="1">
      <alignment horizontal="center" vertical="center" wrapText="1"/>
    </xf>
    <xf numFmtId="0" fontId="84" fillId="0" borderId="24" xfId="0" applyFont="1" applyFill="1" applyBorder="1" applyAlignment="1">
      <alignment vertical="center" wrapText="1"/>
    </xf>
    <xf numFmtId="0" fontId="82" fillId="0" borderId="15" xfId="0" applyFont="1" applyFill="1" applyBorder="1" applyAlignment="1">
      <alignment horizontal="center" vertical="center" wrapText="1"/>
    </xf>
    <xf numFmtId="0" fontId="86" fillId="0" borderId="4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4" fillId="0" borderId="2" xfId="354" applyFont="1" applyBorder="1"/>
    <xf numFmtId="0" fontId="74" fillId="0" borderId="35" xfId="354" applyFont="1" applyBorder="1"/>
    <xf numFmtId="0" fontId="8" fillId="0" borderId="2" xfId="354" applyFont="1" applyBorder="1" applyAlignment="1">
      <alignment vertical="center" wrapText="1"/>
    </xf>
    <xf numFmtId="0" fontId="76" fillId="0" borderId="2" xfId="354" applyFont="1" applyBorder="1" applyAlignment="1">
      <alignment horizontal="center" vertical="center" wrapText="1"/>
    </xf>
    <xf numFmtId="0" fontId="76" fillId="0" borderId="2" xfId="354" applyFont="1" applyBorder="1" applyAlignment="1">
      <alignment horizontal="center" vertical="center"/>
    </xf>
    <xf numFmtId="0" fontId="76" fillId="0" borderId="35" xfId="354" applyFont="1" applyBorder="1" applyAlignment="1">
      <alignment horizontal="center" vertical="center"/>
    </xf>
    <xf numFmtId="0" fontId="76" fillId="0" borderId="32" xfId="0" applyFont="1" applyBorder="1" applyAlignment="1">
      <alignment horizontal="center" vertical="center" wrapText="1"/>
    </xf>
    <xf numFmtId="0" fontId="68" fillId="35" borderId="2" xfId="0" applyFont="1" applyFill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 wrapText="1"/>
    </xf>
    <xf numFmtId="0" fontId="41" fillId="35" borderId="2" xfId="354" applyFont="1" applyFill="1" applyBorder="1" applyAlignment="1">
      <alignment horizontal="center" vertical="center" wrapText="1"/>
    </xf>
    <xf numFmtId="2" fontId="78" fillId="0" borderId="2" xfId="354" applyNumberFormat="1" applyFont="1" applyBorder="1" applyAlignment="1">
      <alignment horizontal="center" vertical="center"/>
    </xf>
    <xf numFmtId="2" fontId="88" fillId="0" borderId="2" xfId="354" applyNumberFormat="1" applyFont="1" applyBorder="1" applyAlignment="1">
      <alignment horizontal="center" vertical="center"/>
    </xf>
    <xf numFmtId="4" fontId="89" fillId="0" borderId="35" xfId="354" applyNumberFormat="1" applyFont="1" applyBorder="1" applyAlignment="1">
      <alignment horizontal="center" vertical="center"/>
    </xf>
    <xf numFmtId="2" fontId="76" fillId="0" borderId="32" xfId="0" applyNumberFormat="1" applyFont="1" applyBorder="1" applyAlignment="1">
      <alignment horizontal="center" vertical="center"/>
    </xf>
    <xf numFmtId="3" fontId="0" fillId="0" borderId="0" xfId="0" applyNumberFormat="1"/>
    <xf numFmtId="0" fontId="41" fillId="0" borderId="2" xfId="354" applyFont="1" applyFill="1" applyBorder="1" applyAlignment="1">
      <alignment horizontal="center" vertical="center" wrapText="1"/>
    </xf>
    <xf numFmtId="0" fontId="90" fillId="0" borderId="0" xfId="0" applyFont="1"/>
    <xf numFmtId="2" fontId="89" fillId="0" borderId="32" xfId="0" applyNumberFormat="1" applyFont="1" applyBorder="1" applyAlignment="1">
      <alignment horizontal="center" vertical="center"/>
    </xf>
    <xf numFmtId="0" fontId="68" fillId="35" borderId="41" xfId="0" applyFont="1" applyFill="1" applyBorder="1" applyAlignment="1">
      <alignment horizontal="center" vertical="center" wrapText="1"/>
    </xf>
    <xf numFmtId="0" fontId="68" fillId="0" borderId="41" xfId="0" applyFont="1" applyBorder="1" applyAlignment="1">
      <alignment horizontal="center" vertical="center" wrapText="1"/>
    </xf>
    <xf numFmtId="0" fontId="41" fillId="35" borderId="41" xfId="354" applyFont="1" applyFill="1" applyBorder="1" applyAlignment="1">
      <alignment horizontal="center" vertical="center" wrapText="1"/>
    </xf>
    <xf numFmtId="2" fontId="78" fillId="0" borderId="41" xfId="354" applyNumberFormat="1" applyFont="1" applyBorder="1" applyAlignment="1">
      <alignment horizontal="center" vertical="center"/>
    </xf>
    <xf numFmtId="2" fontId="88" fillId="0" borderId="41" xfId="354" applyNumberFormat="1" applyFont="1" applyBorder="1" applyAlignment="1">
      <alignment horizontal="center" vertical="center"/>
    </xf>
    <xf numFmtId="0" fontId="89" fillId="0" borderId="33" xfId="0" applyFont="1" applyBorder="1" applyAlignment="1">
      <alignment horizontal="center" vertical="center"/>
    </xf>
    <xf numFmtId="0" fontId="68" fillId="0" borderId="2" xfId="0" applyFont="1" applyFill="1" applyBorder="1" applyAlignment="1">
      <alignment horizontal="center" vertical="center" wrapText="1"/>
    </xf>
    <xf numFmtId="0" fontId="0" fillId="35" borderId="0" xfId="0" applyFill="1"/>
    <xf numFmtId="0" fontId="74" fillId="0" borderId="0" xfId="354" applyFont="1" applyBorder="1"/>
    <xf numFmtId="0" fontId="71" fillId="0" borderId="2" xfId="354" applyFont="1" applyBorder="1" applyAlignment="1">
      <alignment horizontal="center" vertical="center" wrapText="1"/>
    </xf>
    <xf numFmtId="0" fontId="71" fillId="0" borderId="2" xfId="354" applyFont="1" applyBorder="1" applyAlignment="1">
      <alignment vertical="center" wrapText="1"/>
    </xf>
    <xf numFmtId="0" fontId="4" fillId="0" borderId="2" xfId="354" applyFont="1" applyBorder="1" applyAlignment="1">
      <alignment horizontal="center" wrapText="1"/>
    </xf>
    <xf numFmtId="0" fontId="74" fillId="0" borderId="57" xfId="354" applyFont="1" applyBorder="1"/>
    <xf numFmtId="0" fontId="3" fillId="0" borderId="2" xfId="354" applyFont="1" applyBorder="1" applyAlignment="1">
      <alignment horizontal="center" vertical="center"/>
    </xf>
    <xf numFmtId="0" fontId="10" fillId="35" borderId="2" xfId="354" applyFont="1" applyFill="1" applyBorder="1" applyAlignment="1">
      <alignment horizontal="center" vertical="center" wrapText="1"/>
    </xf>
    <xf numFmtId="2" fontId="10" fillId="35" borderId="38" xfId="354" applyNumberFormat="1" applyFont="1" applyFill="1" applyBorder="1" applyAlignment="1">
      <alignment horizontal="center" vertical="center" wrapText="1"/>
    </xf>
    <xf numFmtId="0" fontId="71" fillId="0" borderId="2" xfId="354" applyFont="1" applyBorder="1" applyAlignment="1">
      <alignment horizontal="center" vertical="center"/>
    </xf>
    <xf numFmtId="2" fontId="71" fillId="0" borderId="2" xfId="354" applyNumberFormat="1" applyFont="1" applyFill="1" applyBorder="1" applyAlignment="1">
      <alignment horizontal="center" vertical="center"/>
    </xf>
    <xf numFmtId="4" fontId="8" fillId="0" borderId="36" xfId="354" applyNumberFormat="1" applyFont="1" applyBorder="1" applyAlignment="1">
      <alignment horizontal="center" vertical="center" readingOrder="1"/>
    </xf>
    <xf numFmtId="0" fontId="10" fillId="35" borderId="36" xfId="354" applyFont="1" applyFill="1" applyBorder="1" applyAlignment="1">
      <alignment horizontal="center" vertical="center" wrapText="1"/>
    </xf>
    <xf numFmtId="2" fontId="72" fillId="0" borderId="2" xfId="354" applyNumberFormat="1" applyFont="1" applyFill="1" applyBorder="1" applyAlignment="1">
      <alignment horizontal="center" vertical="center"/>
    </xf>
    <xf numFmtId="206" fontId="74" fillId="0" borderId="0" xfId="354" applyNumberFormat="1" applyFont="1" applyBorder="1"/>
    <xf numFmtId="0" fontId="3" fillId="0" borderId="38" xfId="354" applyFont="1" applyBorder="1" applyAlignment="1">
      <alignment horizontal="center" vertical="center"/>
    </xf>
    <xf numFmtId="2" fontId="3" fillId="46" borderId="2" xfId="354" applyNumberFormat="1" applyFont="1" applyFill="1" applyBorder="1" applyAlignment="1"/>
    <xf numFmtId="2" fontId="74" fillId="0" borderId="0" xfId="354" applyNumberFormat="1" applyFont="1" applyBorder="1"/>
    <xf numFmtId="2" fontId="3" fillId="0" borderId="2" xfId="354" applyNumberFormat="1" applyFont="1" applyFill="1" applyBorder="1" applyAlignment="1"/>
    <xf numFmtId="2" fontId="3" fillId="0" borderId="2" xfId="354" applyNumberFormat="1" applyFont="1" applyFill="1" applyBorder="1" applyAlignment="1">
      <alignment horizontal="center" vertical="center"/>
    </xf>
    <xf numFmtId="4" fontId="65" fillId="35" borderId="36" xfId="354" applyNumberFormat="1" applyFont="1" applyFill="1" applyBorder="1" applyAlignment="1">
      <alignment horizontal="center" vertical="center" readingOrder="1"/>
    </xf>
    <xf numFmtId="0" fontId="3" fillId="0" borderId="41" xfId="354" applyFont="1" applyBorder="1" applyAlignment="1">
      <alignment horizontal="center" vertical="center"/>
    </xf>
    <xf numFmtId="170" fontId="74" fillId="0" borderId="0" xfId="354" applyNumberFormat="1" applyFont="1" applyBorder="1"/>
    <xf numFmtId="0" fontId="3" fillId="0" borderId="2" xfId="354" applyFont="1" applyFill="1" applyBorder="1" applyAlignment="1">
      <alignment horizontal="center" vertical="center"/>
    </xf>
    <xf numFmtId="2" fontId="10" fillId="0" borderId="38" xfId="354" applyNumberFormat="1" applyFont="1" applyFill="1" applyBorder="1" applyAlignment="1">
      <alignment horizontal="center" vertical="center" wrapText="1"/>
    </xf>
    <xf numFmtId="0" fontId="71" fillId="0" borderId="36" xfId="354" applyFont="1" applyBorder="1" applyAlignment="1">
      <alignment horizontal="center" vertical="center"/>
    </xf>
    <xf numFmtId="4" fontId="65" fillId="0" borderId="36" xfId="354" applyNumberFormat="1" applyFont="1" applyFill="1" applyBorder="1" applyAlignment="1">
      <alignment horizontal="center" vertical="center" readingOrder="1"/>
    </xf>
    <xf numFmtId="0" fontId="10" fillId="0" borderId="36" xfId="354" applyFont="1" applyFill="1" applyBorder="1" applyAlignment="1">
      <alignment horizontal="center" vertical="center" wrapText="1"/>
    </xf>
    <xf numFmtId="0" fontId="71" fillId="0" borderId="38" xfId="354" applyFont="1" applyBorder="1" applyAlignment="1">
      <alignment horizontal="center" vertical="center"/>
    </xf>
    <xf numFmtId="4" fontId="8" fillId="0" borderId="36" xfId="354" applyNumberFormat="1" applyFont="1" applyFill="1" applyBorder="1" applyAlignment="1">
      <alignment horizontal="center" vertical="center" readingOrder="1"/>
    </xf>
    <xf numFmtId="4" fontId="76" fillId="0" borderId="38" xfId="0" applyNumberFormat="1" applyFont="1" applyBorder="1" applyAlignment="1">
      <alignment horizontal="center" vertical="center" readingOrder="1"/>
    </xf>
    <xf numFmtId="2" fontId="0" fillId="0" borderId="32" xfId="0" applyNumberFormat="1" applyBorder="1"/>
    <xf numFmtId="4" fontId="76" fillId="0" borderId="36" xfId="0" applyNumberFormat="1" applyFont="1" applyBorder="1" applyAlignment="1">
      <alignment horizontal="center" vertical="center" readingOrder="1"/>
    </xf>
    <xf numFmtId="0" fontId="0" fillId="0" borderId="2" xfId="0" applyBorder="1" applyAlignment="1"/>
    <xf numFmtId="0" fontId="3" fillId="35" borderId="58" xfId="354" applyFont="1" applyFill="1" applyBorder="1" applyAlignment="1">
      <alignment horizontal="center" vertical="center" wrapText="1"/>
    </xf>
    <xf numFmtId="0" fontId="71" fillId="0" borderId="36" xfId="354" applyFont="1" applyBorder="1" applyAlignment="1">
      <alignment horizontal="center"/>
    </xf>
    <xf numFmtId="0" fontId="91" fillId="0" borderId="2" xfId="0" applyFont="1" applyBorder="1" applyAlignment="1">
      <alignment horizontal="center" vertical="center"/>
    </xf>
    <xf numFmtId="0" fontId="3" fillId="0" borderId="2" xfId="354" applyFont="1" applyBorder="1" applyAlignment="1">
      <alignment horizontal="center"/>
    </xf>
    <xf numFmtId="3" fontId="76" fillId="0" borderId="36" xfId="0" applyNumberFormat="1" applyFont="1" applyBorder="1" applyAlignment="1">
      <alignment horizontal="center" vertical="center" readingOrder="1"/>
    </xf>
    <xf numFmtId="2" fontId="76" fillId="0" borderId="38" xfId="0" applyNumberFormat="1" applyFont="1" applyBorder="1" applyAlignment="1">
      <alignment horizontal="center" vertical="center" readingOrder="1"/>
    </xf>
    <xf numFmtId="2" fontId="76" fillId="0" borderId="36" xfId="0" applyNumberFormat="1" applyFont="1" applyBorder="1" applyAlignment="1">
      <alignment horizontal="center" vertical="center" readingOrder="1"/>
    </xf>
    <xf numFmtId="0" fontId="0" fillId="0" borderId="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0" fillId="35" borderId="59" xfId="354" applyFont="1" applyFill="1" applyBorder="1" applyAlignment="1">
      <alignment horizontal="center" vertical="center" wrapText="1"/>
    </xf>
    <xf numFmtId="0" fontId="3" fillId="0" borderId="59" xfId="354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74" fillId="0" borderId="60" xfId="354" applyFont="1" applyBorder="1"/>
    <xf numFmtId="0" fontId="0" fillId="0" borderId="61" xfId="0" applyBorder="1"/>
    <xf numFmtId="0" fontId="0" fillId="0" borderId="32" xfId="0" applyFont="1" applyBorder="1" applyAlignment="1">
      <alignment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92" fillId="0" borderId="59" xfId="0" applyFont="1" applyBorder="1" applyAlignment="1">
      <alignment horizontal="left" vertical="center"/>
    </xf>
    <xf numFmtId="0" fontId="0" fillId="0" borderId="59" xfId="0" applyBorder="1" applyAlignment="1">
      <alignment vertical="center"/>
    </xf>
    <xf numFmtId="0" fontId="0" fillId="0" borderId="59" xfId="0" applyBorder="1" applyAlignment="1">
      <alignment vertical="center" wrapText="1"/>
    </xf>
    <xf numFmtId="0" fontId="0" fillId="0" borderId="59" xfId="0" applyFont="1" applyBorder="1" applyAlignment="1">
      <alignment horizontal="center" vertical="center"/>
    </xf>
    <xf numFmtId="0" fontId="0" fillId="0" borderId="63" xfId="0" applyFont="1" applyBorder="1" applyAlignment="1">
      <alignment vertical="center" wrapText="1"/>
    </xf>
    <xf numFmtId="0" fontId="92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vertical="center"/>
    </xf>
    <xf numFmtId="0" fontId="92" fillId="0" borderId="2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9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vertical="center" wrapText="1"/>
    </xf>
    <xf numFmtId="0" fontId="93" fillId="0" borderId="41" xfId="0" applyFont="1" applyBorder="1" applyAlignment="1">
      <alignment horizontal="left" vertical="center" wrapText="1"/>
    </xf>
    <xf numFmtId="0" fontId="0" fillId="0" borderId="41" xfId="0" applyFont="1" applyBorder="1" applyAlignment="1">
      <alignment vertical="center"/>
    </xf>
    <xf numFmtId="0" fontId="0" fillId="0" borderId="41" xfId="0" applyBorder="1" applyAlignment="1">
      <alignment vertical="center" wrapText="1"/>
    </xf>
    <xf numFmtId="0" fontId="0" fillId="0" borderId="41" xfId="0" applyFont="1" applyBorder="1" applyAlignment="1">
      <alignment horizontal="center" vertical="center"/>
    </xf>
    <xf numFmtId="2" fontId="74" fillId="0" borderId="57" xfId="354" applyNumberFormat="1" applyFont="1" applyBorder="1" applyAlignment="1">
      <alignment horizontal="center" vertical="center"/>
    </xf>
    <xf numFmtId="2" fontId="72" fillId="0" borderId="2" xfId="354" applyNumberFormat="1" applyFont="1" applyBorder="1" applyAlignment="1">
      <alignment horizontal="center" vertical="center"/>
    </xf>
    <xf numFmtId="2" fontId="71" fillId="0" borderId="2" xfId="354" applyNumberFormat="1" applyFont="1" applyBorder="1" applyAlignment="1">
      <alignment horizontal="center" vertical="center"/>
    </xf>
    <xf numFmtId="2" fontId="27" fillId="0" borderId="2" xfId="354" applyNumberFormat="1" applyFont="1" applyBorder="1" applyAlignment="1">
      <alignment horizontal="center" vertical="center"/>
    </xf>
    <xf numFmtId="2" fontId="71" fillId="0" borderId="38" xfId="354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2" fontId="91" fillId="0" borderId="2" xfId="0" applyNumberFormat="1" applyFont="1" applyBorder="1" applyAlignment="1">
      <alignment horizontal="center" vertical="center"/>
    </xf>
    <xf numFmtId="0" fontId="71" fillId="0" borderId="2" xfId="354" applyFont="1" applyFill="1" applyBorder="1" applyAlignment="1">
      <alignment horizontal="center" vertical="center"/>
    </xf>
    <xf numFmtId="2" fontId="10" fillId="0" borderId="36" xfId="354" applyNumberFormat="1" applyFont="1" applyFill="1" applyBorder="1" applyAlignment="1">
      <alignment horizontal="center" vertical="center" wrapText="1"/>
    </xf>
    <xf numFmtId="0" fontId="3" fillId="0" borderId="2" xfId="354" applyFont="1" applyFill="1" applyBorder="1" applyAlignment="1"/>
    <xf numFmtId="4" fontId="3" fillId="0" borderId="2" xfId="354" applyNumberFormat="1" applyFont="1" applyFill="1" applyBorder="1" applyAlignment="1">
      <alignment horizontal="center" vertical="center"/>
    </xf>
    <xf numFmtId="0" fontId="3" fillId="0" borderId="2" xfId="354" applyFont="1" applyFill="1" applyBorder="1" applyAlignment="1">
      <alignment horizontal="center"/>
    </xf>
    <xf numFmtId="2" fontId="71" fillId="0" borderId="32" xfId="354" applyNumberFormat="1" applyFont="1" applyFill="1" applyBorder="1" applyAlignment="1">
      <alignment horizontal="center" vertical="center"/>
    </xf>
    <xf numFmtId="2" fontId="71" fillId="0" borderId="32" xfId="354" applyNumberFormat="1" applyFont="1" applyBorder="1" applyAlignment="1">
      <alignment horizontal="center" vertical="center"/>
    </xf>
    <xf numFmtId="2" fontId="3" fillId="0" borderId="32" xfId="354" applyNumberFormat="1" applyFont="1" applyBorder="1" applyAlignment="1">
      <alignment horizontal="center" vertical="center"/>
    </xf>
    <xf numFmtId="2" fontId="95" fillId="0" borderId="32" xfId="354" applyNumberFormat="1" applyFont="1" applyBorder="1" applyAlignment="1">
      <alignment horizontal="center" vertical="center"/>
    </xf>
    <xf numFmtId="2" fontId="3" fillId="0" borderId="32" xfId="354" applyNumberFormat="1" applyFont="1" applyFill="1" applyBorder="1" applyAlignment="1">
      <alignment horizontal="center" vertical="center"/>
    </xf>
    <xf numFmtId="4" fontId="78" fillId="0" borderId="2" xfId="0" applyNumberFormat="1" applyFont="1" applyBorder="1" applyAlignment="1">
      <alignment horizontal="center" vertical="center"/>
    </xf>
    <xf numFmtId="4" fontId="78" fillId="0" borderId="38" xfId="0" applyNumberFormat="1" applyFont="1" applyBorder="1" applyAlignment="1">
      <alignment horizontal="center" vertical="center"/>
    </xf>
    <xf numFmtId="4" fontId="79" fillId="0" borderId="43" xfId="0" applyNumberFormat="1" applyFon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82" fillId="0" borderId="21" xfId="0" applyNumberFormat="1" applyFont="1" applyFill="1" applyBorder="1" applyAlignment="1">
      <alignment horizontal="center" vertical="center" wrapText="1"/>
    </xf>
    <xf numFmtId="2" fontId="82" fillId="0" borderId="48" xfId="0" applyNumberFormat="1" applyFont="1" applyBorder="1" applyAlignment="1">
      <alignment horizontal="center" vertical="center" wrapText="1"/>
    </xf>
    <xf numFmtId="2" fontId="82" fillId="0" borderId="48" xfId="0" applyNumberFormat="1" applyFont="1" applyFill="1" applyBorder="1" applyAlignment="1">
      <alignment horizontal="center" vertical="center" wrapText="1"/>
    </xf>
    <xf numFmtId="2" fontId="82" fillId="0" borderId="21" xfId="0" applyNumberFormat="1" applyFont="1" applyBorder="1" applyAlignment="1">
      <alignment horizontal="center" vertical="center" wrapText="1"/>
    </xf>
    <xf numFmtId="2" fontId="82" fillId="39" borderId="21" xfId="0" applyNumberFormat="1" applyFont="1" applyFill="1" applyBorder="1" applyAlignment="1">
      <alignment horizontal="center" vertical="center" wrapText="1"/>
    </xf>
    <xf numFmtId="2" fontId="82" fillId="0" borderId="22" xfId="0" applyNumberFormat="1" applyFont="1" applyFill="1" applyBorder="1" applyAlignment="1">
      <alignment horizontal="center" vertical="center" wrapText="1"/>
    </xf>
    <xf numFmtId="2" fontId="96" fillId="0" borderId="53" xfId="0" applyNumberFormat="1" applyFont="1" applyFill="1" applyBorder="1" applyAlignment="1">
      <alignment horizontal="center" vertical="center" wrapText="1"/>
    </xf>
    <xf numFmtId="2" fontId="84" fillId="0" borderId="19" xfId="0" applyNumberFormat="1" applyFont="1" applyFill="1" applyBorder="1" applyAlignment="1">
      <alignment horizontal="center" vertical="center" wrapText="1"/>
    </xf>
    <xf numFmtId="2" fontId="84" fillId="0" borderId="15" xfId="0" applyNumberFormat="1" applyFont="1" applyBorder="1" applyAlignment="1">
      <alignment horizontal="center" vertical="center" wrapText="1"/>
    </xf>
    <xf numFmtId="2" fontId="84" fillId="0" borderId="0" xfId="0" applyNumberFormat="1" applyFont="1" applyBorder="1" applyAlignment="1">
      <alignment horizontal="center" vertical="center" wrapText="1"/>
    </xf>
    <xf numFmtId="2" fontId="85" fillId="0" borderId="15" xfId="0" applyNumberFormat="1" applyFont="1" applyFill="1" applyBorder="1" applyAlignment="1">
      <alignment horizontal="center" vertical="center" wrapText="1"/>
    </xf>
    <xf numFmtId="2" fontId="84" fillId="0" borderId="19" xfId="0" applyNumberFormat="1" applyFont="1" applyBorder="1" applyAlignment="1">
      <alignment horizontal="center" vertical="center" wrapText="1"/>
    </xf>
    <xf numFmtId="2" fontId="0" fillId="0" borderId="20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75" fillId="0" borderId="0" xfId="0" applyNumberFormat="1" applyFont="1" applyAlignment="1">
      <alignment horizontal="center"/>
    </xf>
    <xf numFmtId="2" fontId="75" fillId="0" borderId="0" xfId="0" applyNumberFormat="1" applyFont="1" applyAlignment="1">
      <alignment horizontal="center" vertical="center"/>
    </xf>
    <xf numFmtId="0" fontId="78" fillId="39" borderId="2" xfId="0" applyFont="1" applyFill="1" applyBorder="1" applyAlignment="1">
      <alignment horizontal="center" vertical="center"/>
    </xf>
    <xf numFmtId="4" fontId="79" fillId="0" borderId="2" xfId="0" applyNumberFormat="1" applyFont="1" applyBorder="1" applyAlignment="1">
      <alignment horizontal="center" vertical="center"/>
    </xf>
    <xf numFmtId="4" fontId="79" fillId="0" borderId="38" xfId="0" applyNumberFormat="1" applyFont="1" applyBorder="1" applyAlignment="1">
      <alignment horizontal="center" vertical="center"/>
    </xf>
    <xf numFmtId="2" fontId="93" fillId="0" borderId="38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5" fillId="0" borderId="67" xfId="0" applyNumberFormat="1" applyFont="1" applyBorder="1" applyAlignment="1">
      <alignment horizontal="center" vertical="center"/>
    </xf>
    <xf numFmtId="0" fontId="0" fillId="0" borderId="15" xfId="0" applyFill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44" borderId="20" xfId="0" applyFill="1" applyBorder="1" applyAlignment="1">
      <alignment horizontal="center" vertical="center"/>
    </xf>
    <xf numFmtId="0" fontId="0" fillId="44" borderId="20" xfId="0" applyFont="1" applyFill="1" applyBorder="1" applyAlignment="1">
      <alignment horizontal="center" vertical="center"/>
    </xf>
    <xf numFmtId="0" fontId="82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0" fillId="35" borderId="38" xfId="354" applyFont="1" applyFill="1" applyBorder="1" applyAlignment="1">
      <alignment horizontal="center" vertical="center" wrapText="1"/>
    </xf>
    <xf numFmtId="14" fontId="2" fillId="35" borderId="38" xfId="354" applyNumberFormat="1" applyFont="1" applyFill="1" applyBorder="1" applyAlignment="1">
      <alignment horizontal="center" vertical="center" wrapText="1"/>
    </xf>
    <xf numFmtId="0" fontId="74" fillId="0" borderId="0" xfId="354" applyFont="1" applyBorder="1" applyAlignment="1">
      <alignment horizontal="center"/>
    </xf>
    <xf numFmtId="0" fontId="75" fillId="36" borderId="43" xfId="0" applyFont="1" applyFill="1" applyBorder="1" applyAlignment="1">
      <alignment horizontal="center" vertical="center" wrapText="1"/>
    </xf>
    <xf numFmtId="0" fontId="82" fillId="39" borderId="50" xfId="0" applyFont="1" applyFill="1" applyBorder="1" applyAlignment="1">
      <alignment horizontal="center" vertical="center" wrapText="1"/>
    </xf>
    <xf numFmtId="0" fontId="26" fillId="39" borderId="21" xfId="0" applyFont="1" applyFill="1" applyBorder="1" applyAlignment="1">
      <alignment horizontal="left" vertical="center" wrapText="1"/>
    </xf>
    <xf numFmtId="0" fontId="82" fillId="39" borderId="21" xfId="0" applyFont="1" applyFill="1" applyBorder="1" applyAlignment="1">
      <alignment vertical="center" wrapText="1"/>
    </xf>
    <xf numFmtId="0" fontId="82" fillId="39" borderId="51" xfId="0" applyFont="1" applyFill="1" applyBorder="1" applyAlignment="1">
      <alignment horizontal="center" vertical="center" wrapText="1"/>
    </xf>
    <xf numFmtId="0" fontId="76" fillId="37" borderId="45" xfId="0" applyFont="1" applyFill="1" applyBorder="1" applyAlignment="1">
      <alignment horizontal="center" vertical="center" wrapText="1"/>
    </xf>
    <xf numFmtId="16" fontId="0" fillId="0" borderId="15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6" fontId="0" fillId="0" borderId="15" xfId="0" applyNumberFormat="1" applyBorder="1"/>
    <xf numFmtId="0" fontId="0" fillId="0" borderId="68" xfId="0" applyBorder="1" applyAlignment="1">
      <alignment horizontal="center" vertical="center"/>
    </xf>
    <xf numFmtId="0" fontId="97" fillId="0" borderId="69" xfId="0" applyFont="1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0" fillId="0" borderId="69" xfId="0" applyNumberFormat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43" borderId="2" xfId="0" applyFill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39" borderId="2" xfId="0" applyFill="1" applyBorder="1" applyAlignment="1">
      <alignment horizontal="center" vertical="center"/>
    </xf>
    <xf numFmtId="14" fontId="0" fillId="0" borderId="2" xfId="0" quotePrefix="1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97" fillId="0" borderId="2" xfId="0" applyFont="1" applyBorder="1" applyAlignment="1">
      <alignment vertical="center"/>
    </xf>
    <xf numFmtId="0" fontId="0" fillId="0" borderId="71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72" xfId="0" applyBorder="1" applyAlignment="1">
      <alignment vertical="center"/>
    </xf>
    <xf numFmtId="169" fontId="0" fillId="0" borderId="73" xfId="0" applyNumberFormat="1" applyBorder="1" applyAlignment="1">
      <alignment horizontal="center"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3" fillId="35" borderId="17" xfId="354" applyFont="1" applyFill="1" applyBorder="1" applyAlignment="1">
      <alignment horizontal="center" vertical="center" wrapText="1"/>
    </xf>
    <xf numFmtId="0" fontId="3" fillId="0" borderId="75" xfId="354" applyFont="1" applyFill="1" applyBorder="1" applyAlignment="1">
      <alignment horizontal="center" vertical="center"/>
    </xf>
    <xf numFmtId="0" fontId="78" fillId="0" borderId="75" xfId="0" applyFont="1" applyBorder="1" applyAlignment="1">
      <alignment vertical="center" wrapText="1" readingOrder="1"/>
    </xf>
    <xf numFmtId="0" fontId="98" fillId="0" borderId="75" xfId="0" applyFont="1" applyBorder="1" applyAlignment="1">
      <alignment horizontal="center" vertical="center" readingOrder="1"/>
    </xf>
    <xf numFmtId="4" fontId="76" fillId="0" borderId="75" xfId="0" applyNumberFormat="1" applyFont="1" applyBorder="1" applyAlignment="1">
      <alignment horizontal="center" vertical="center" readingOrder="1"/>
    </xf>
    <xf numFmtId="0" fontId="10" fillId="35" borderId="75" xfId="354" applyFont="1" applyFill="1" applyBorder="1" applyAlignment="1">
      <alignment horizontal="center" vertical="center" wrapText="1"/>
    </xf>
    <xf numFmtId="0" fontId="2" fillId="35" borderId="75" xfId="354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2" fontId="99" fillId="0" borderId="48" xfId="0" applyNumberFormat="1" applyFont="1" applyBorder="1" applyAlignment="1">
      <alignment horizontal="center" vertical="center" wrapText="1"/>
    </xf>
    <xf numFmtId="2" fontId="27" fillId="0" borderId="2" xfId="354" applyNumberFormat="1" applyFont="1" applyFill="1" applyBorder="1" applyAlignment="1">
      <alignment horizontal="center" vertical="center"/>
    </xf>
    <xf numFmtId="0" fontId="71" fillId="0" borderId="2" xfId="354" applyFont="1" applyFill="1" applyBorder="1" applyAlignment="1"/>
    <xf numFmtId="2" fontId="71" fillId="0" borderId="38" xfId="354" applyNumberFormat="1" applyFont="1" applyFill="1" applyBorder="1" applyAlignment="1">
      <alignment horizontal="center" vertical="center"/>
    </xf>
    <xf numFmtId="2" fontId="71" fillId="0" borderId="2" xfId="354" applyNumberFormat="1" applyFont="1" applyFill="1" applyBorder="1" applyAlignment="1"/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/>
    <xf numFmtId="0" fontId="84" fillId="0" borderId="59" xfId="0" applyFont="1" applyFill="1" applyBorder="1" applyAlignment="1">
      <alignment vertical="center" wrapText="1"/>
    </xf>
    <xf numFmtId="0" fontId="98" fillId="0" borderId="59" xfId="0" applyFont="1" applyBorder="1" applyAlignment="1">
      <alignment vertical="center" wrapText="1" readingOrder="1"/>
    </xf>
    <xf numFmtId="4" fontId="76" fillId="0" borderId="59" xfId="0" applyNumberFormat="1" applyFont="1" applyBorder="1" applyAlignment="1">
      <alignment horizontal="center" vertical="center" readingOrder="1"/>
    </xf>
    <xf numFmtId="0" fontId="0" fillId="0" borderId="63" xfId="0" applyBorder="1"/>
    <xf numFmtId="0" fontId="84" fillId="0" borderId="2" xfId="0" applyFont="1" applyFill="1" applyBorder="1" applyAlignment="1">
      <alignment vertical="center" wrapText="1"/>
    </xf>
    <xf numFmtId="0" fontId="98" fillId="0" borderId="2" xfId="0" applyFont="1" applyBorder="1" applyAlignment="1">
      <alignment vertical="center" wrapText="1" readingOrder="1"/>
    </xf>
    <xf numFmtId="4" fontId="76" fillId="0" borderId="2" xfId="0" applyNumberFormat="1" applyFont="1" applyBorder="1" applyAlignment="1">
      <alignment horizontal="center" vertical="center" readingOrder="1"/>
    </xf>
    <xf numFmtId="14" fontId="2" fillId="35" borderId="2" xfId="354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38" xfId="0" applyBorder="1"/>
    <xf numFmtId="2" fontId="3" fillId="0" borderId="2" xfId="354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3" fontId="7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3" fontId="75" fillId="0" borderId="38" xfId="0" applyNumberFormat="1" applyFont="1" applyBorder="1" applyAlignment="1">
      <alignment horizontal="center"/>
    </xf>
    <xf numFmtId="0" fontId="0" fillId="0" borderId="33" xfId="0" applyBorder="1"/>
    <xf numFmtId="0" fontId="0" fillId="0" borderId="76" xfId="0" applyFill="1" applyBorder="1"/>
    <xf numFmtId="3" fontId="75" fillId="0" borderId="67" xfId="0" applyNumberFormat="1" applyFont="1" applyBorder="1" applyAlignment="1">
      <alignment horizontal="center"/>
    </xf>
    <xf numFmtId="0" fontId="100" fillId="0" borderId="17" xfId="0" applyFont="1" applyBorder="1" applyAlignment="1">
      <alignment horizontal="center" vertical="center" wrapText="1"/>
    </xf>
    <xf numFmtId="0" fontId="64" fillId="0" borderId="0" xfId="354" applyFont="1" applyBorder="1" applyAlignment="1">
      <alignment horizontal="center" vertical="center" wrapText="1" readingOrder="1"/>
    </xf>
    <xf numFmtId="0" fontId="98" fillId="0" borderId="0" xfId="0" applyFont="1" applyBorder="1" applyAlignment="1">
      <alignment horizontal="center" vertical="center" readingOrder="1"/>
    </xf>
    <xf numFmtId="3" fontId="76" fillId="0" borderId="0" xfId="0" applyNumberFormat="1" applyFont="1" applyBorder="1" applyAlignment="1">
      <alignment horizontal="center" vertical="center" readingOrder="1"/>
    </xf>
    <xf numFmtId="0" fontId="10" fillId="35" borderId="0" xfId="354" applyFont="1" applyFill="1" applyBorder="1" applyAlignment="1">
      <alignment horizontal="center" vertical="center" wrapText="1"/>
    </xf>
    <xf numFmtId="0" fontId="3" fillId="0" borderId="0" xfId="354" applyFont="1" applyBorder="1" applyAlignment="1">
      <alignment horizontal="center" vertical="center"/>
    </xf>
    <xf numFmtId="2" fontId="3" fillId="0" borderId="0" xfId="354" applyNumberFormat="1" applyFont="1" applyFill="1" applyBorder="1" applyAlignment="1"/>
    <xf numFmtId="0" fontId="0" fillId="0" borderId="46" xfId="0" applyBorder="1"/>
    <xf numFmtId="2" fontId="0" fillId="0" borderId="75" xfId="0" applyNumberFormat="1" applyFill="1" applyBorder="1" applyAlignment="1">
      <alignment horizontal="center" vertical="center"/>
    </xf>
    <xf numFmtId="2" fontId="0" fillId="0" borderId="2" xfId="0" applyNumberFormat="1" applyBorder="1" applyAlignment="1"/>
    <xf numFmtId="2" fontId="0" fillId="0" borderId="0" xfId="0" applyNumberFormat="1" applyBorder="1"/>
    <xf numFmtId="2" fontId="0" fillId="0" borderId="60" xfId="0" applyNumberFormat="1" applyBorder="1" applyAlignment="1">
      <alignment horizontal="center" vertical="center"/>
    </xf>
    <xf numFmtId="0" fontId="74" fillId="0" borderId="0" xfId="354" applyFont="1" applyBorder="1"/>
    <xf numFmtId="169" fontId="75" fillId="0" borderId="0" xfId="0" applyNumberFormat="1" applyFont="1" applyAlignment="1">
      <alignment horizontal="center" vertical="center"/>
    </xf>
    <xf numFmtId="0" fontId="78" fillId="0" borderId="32" xfId="0" applyFont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82" fillId="0" borderId="22" xfId="0" applyFont="1" applyBorder="1" applyAlignment="1">
      <alignment horizontal="left" vertical="center" wrapText="1"/>
    </xf>
    <xf numFmtId="2" fontId="0" fillId="0" borderId="22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0" fontId="0" fillId="0" borderId="22" xfId="0" applyBorder="1"/>
    <xf numFmtId="0" fontId="0" fillId="39" borderId="22" xfId="0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77" xfId="0" applyBorder="1" applyAlignment="1">
      <alignment horizontal="center" vertical="center"/>
    </xf>
    <xf numFmtId="0" fontId="82" fillId="0" borderId="78" xfId="0" applyFont="1" applyBorder="1" applyAlignment="1">
      <alignment horizontal="left" vertical="center" wrapText="1"/>
    </xf>
    <xf numFmtId="2" fontId="0" fillId="0" borderId="78" xfId="0" applyNumberFormat="1" applyBorder="1" applyAlignment="1">
      <alignment horizontal="center" vertical="center"/>
    </xf>
    <xf numFmtId="0" fontId="0" fillId="0" borderId="78" xfId="0" applyBorder="1"/>
    <xf numFmtId="0" fontId="0" fillId="39" borderId="78" xfId="0" applyFont="1" applyFill="1" applyBorder="1" applyAlignment="1">
      <alignment horizontal="center"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0" fontId="10" fillId="0" borderId="2" xfId="354" applyFont="1" applyFill="1" applyBorder="1" applyAlignment="1">
      <alignment horizontal="center" vertical="center" wrapText="1"/>
    </xf>
    <xf numFmtId="4" fontId="65" fillId="0" borderId="2" xfId="354" applyNumberFormat="1" applyFont="1" applyFill="1" applyBorder="1" applyAlignment="1">
      <alignment horizontal="center" vertical="center" readingOrder="1"/>
    </xf>
    <xf numFmtId="2" fontId="10" fillId="0" borderId="2" xfId="354" applyNumberFormat="1" applyFont="1" applyFill="1" applyBorder="1" applyAlignment="1">
      <alignment horizontal="center" vertical="center" wrapText="1"/>
    </xf>
    <xf numFmtId="4" fontId="8" fillId="0" borderId="2" xfId="354" applyNumberFormat="1" applyFont="1" applyFill="1" applyBorder="1" applyAlignment="1">
      <alignment horizontal="center" vertical="center" readingOrder="1"/>
    </xf>
    <xf numFmtId="4" fontId="76" fillId="0" borderId="2" xfId="0" applyNumberFormat="1" applyFont="1" applyBorder="1" applyAlignment="1">
      <alignment vertical="center" readingOrder="1"/>
    </xf>
    <xf numFmtId="170" fontId="71" fillId="0" borderId="2" xfId="354" applyNumberFormat="1" applyFont="1" applyFill="1" applyBorder="1" applyAlignment="1">
      <alignment horizontal="center" vertical="center"/>
    </xf>
    <xf numFmtId="4" fontId="78" fillId="0" borderId="42" xfId="0" applyNumberFormat="1" applyFont="1" applyBorder="1" applyAlignment="1">
      <alignment horizontal="center" vertical="center"/>
    </xf>
    <xf numFmtId="4" fontId="79" fillId="0" borderId="35" xfId="0" applyNumberFormat="1" applyFont="1" applyBorder="1" applyAlignment="1">
      <alignment horizontal="center" vertical="center"/>
    </xf>
    <xf numFmtId="4" fontId="75" fillId="0" borderId="4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44" borderId="0" xfId="0" applyFill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" fontId="75" fillId="39" borderId="0" xfId="0" applyNumberFormat="1" applyFont="1" applyFill="1" applyAlignment="1">
      <alignment horizontal="center"/>
    </xf>
    <xf numFmtId="0" fontId="71" fillId="0" borderId="35" xfId="354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44" borderId="2" xfId="0" applyNumberFormat="1" applyFill="1" applyBorder="1" applyAlignment="1">
      <alignment horizontal="center"/>
    </xf>
    <xf numFmtId="1" fontId="79" fillId="0" borderId="2" xfId="0" applyNumberFormat="1" applyFont="1" applyBorder="1" applyAlignment="1">
      <alignment horizontal="center"/>
    </xf>
    <xf numFmtId="1" fontId="5" fillId="44" borderId="2" xfId="0" applyNumberFormat="1" applyFont="1" applyFill="1" applyBorder="1" applyAlignment="1" applyProtection="1">
      <alignment horizontal="center"/>
      <protection locked="0"/>
    </xf>
    <xf numFmtId="1" fontId="0" fillId="0" borderId="2" xfId="0" applyNumberFormat="1" applyBorder="1"/>
    <xf numFmtId="1" fontId="0" fillId="41" borderId="2" xfId="0" applyNumberFormat="1" applyFill="1" applyBorder="1"/>
    <xf numFmtId="169" fontId="3" fillId="0" borderId="2" xfId="354" applyNumberFormat="1" applyFont="1" applyFill="1" applyBorder="1" applyAlignment="1"/>
    <xf numFmtId="169" fontId="71" fillId="0" borderId="2" xfId="354" applyNumberFormat="1" applyFont="1" applyFill="1" applyBorder="1" applyAlignment="1">
      <alignment horizontal="center" vertical="center"/>
    </xf>
    <xf numFmtId="169" fontId="3" fillId="0" borderId="2" xfId="354" applyNumberFormat="1" applyFont="1" applyFill="1" applyBorder="1" applyAlignment="1">
      <alignment horizontal="center"/>
    </xf>
    <xf numFmtId="1" fontId="5" fillId="44" borderId="2" xfId="0" applyNumberFormat="1" applyFont="1" applyFill="1" applyBorder="1" applyAlignment="1">
      <alignment horizontal="center"/>
    </xf>
    <xf numFmtId="169" fontId="72" fillId="0" borderId="2" xfId="354" applyNumberFormat="1" applyFont="1" applyFill="1" applyBorder="1" applyAlignment="1">
      <alignment horizontal="center" vertical="center"/>
    </xf>
    <xf numFmtId="1" fontId="0" fillId="0" borderId="0" xfId="0" applyNumberFormat="1" applyBorder="1"/>
    <xf numFmtId="169" fontId="0" fillId="0" borderId="0" xfId="0" applyNumberFormat="1"/>
    <xf numFmtId="1" fontId="3" fillId="44" borderId="2" xfId="0" applyNumberFormat="1" applyFont="1" applyFill="1" applyBorder="1" applyAlignment="1">
      <alignment horizontal="center"/>
    </xf>
    <xf numFmtId="0" fontId="96" fillId="44" borderId="2" xfId="0" applyFont="1" applyFill="1" applyBorder="1" applyAlignment="1">
      <alignment horizontal="center"/>
    </xf>
    <xf numFmtId="0" fontId="82" fillId="44" borderId="2" xfId="0" applyFont="1" applyFill="1" applyBorder="1" applyAlignment="1">
      <alignment horizontal="center"/>
    </xf>
    <xf numFmtId="1" fontId="82" fillId="44" borderId="2" xfId="0" applyNumberFormat="1" applyFont="1" applyFill="1" applyBorder="1" applyAlignment="1">
      <alignment horizontal="center"/>
    </xf>
    <xf numFmtId="0" fontId="96" fillId="0" borderId="2" xfId="0" applyFont="1" applyFill="1" applyBorder="1" applyAlignment="1">
      <alignment horizontal="center"/>
    </xf>
    <xf numFmtId="0" fontId="82" fillId="0" borderId="2" xfId="0" applyFont="1" applyFill="1" applyBorder="1" applyAlignment="1">
      <alignment horizontal="center"/>
    </xf>
    <xf numFmtId="1" fontId="82" fillId="0" borderId="2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0" fontId="82" fillId="44" borderId="2" xfId="0" applyFont="1" applyFill="1" applyBorder="1" applyAlignment="1">
      <alignment horizontal="center" vertical="center"/>
    </xf>
    <xf numFmtId="1" fontId="82" fillId="44" borderId="2" xfId="0" applyNumberFormat="1" applyFont="1" applyFill="1" applyBorder="1" applyAlignment="1">
      <alignment horizontal="center" vertical="center"/>
    </xf>
    <xf numFmtId="1" fontId="0" fillId="44" borderId="2" xfId="0" applyNumberFormat="1" applyFont="1" applyFill="1" applyBorder="1" applyAlignment="1">
      <alignment horizontal="center" vertical="center"/>
    </xf>
    <xf numFmtId="0" fontId="3" fillId="44" borderId="2" xfId="0" applyFont="1" applyFill="1" applyBorder="1" applyAlignment="1">
      <alignment horizontal="center"/>
    </xf>
    <xf numFmtId="0" fontId="4" fillId="44" borderId="2" xfId="0" applyFont="1" applyFill="1" applyBorder="1" applyAlignment="1">
      <alignment horizontal="center"/>
    </xf>
    <xf numFmtId="0" fontId="4" fillId="44" borderId="2" xfId="0" applyNumberFormat="1" applyFont="1" applyFill="1" applyBorder="1" applyAlignment="1" applyProtection="1">
      <alignment horizontal="center"/>
      <protection locked="0"/>
    </xf>
    <xf numFmtId="1" fontId="4" fillId="44" borderId="2" xfId="0" applyNumberFormat="1" applyFont="1" applyFill="1" applyBorder="1" applyAlignment="1">
      <alignment horizontal="center"/>
    </xf>
    <xf numFmtId="1" fontId="0" fillId="44" borderId="2" xfId="0" applyNumberFormat="1" applyFill="1" applyBorder="1"/>
    <xf numFmtId="0" fontId="0" fillId="0" borderId="2" xfId="0" applyFill="1" applyBorder="1" applyAlignment="1">
      <alignment horizontal="center"/>
    </xf>
    <xf numFmtId="0" fontId="79" fillId="0" borderId="2" xfId="0" applyFont="1" applyBorder="1" applyAlignment="1">
      <alignment horizontal="center"/>
    </xf>
    <xf numFmtId="0" fontId="0" fillId="44" borderId="2" xfId="0" applyFill="1" applyBorder="1" applyAlignment="1">
      <alignment horizontal="center"/>
    </xf>
    <xf numFmtId="169" fontId="3" fillId="0" borderId="43" xfId="354" applyNumberFormat="1" applyFont="1" applyFill="1" applyBorder="1" applyAlignment="1">
      <alignment horizontal="center"/>
    </xf>
    <xf numFmtId="0" fontId="4" fillId="0" borderId="0" xfId="0" applyFont="1"/>
    <xf numFmtId="169" fontId="0" fillId="0" borderId="45" xfId="0" applyNumberFormat="1" applyBorder="1" applyAlignment="1">
      <alignment horizontal="center"/>
    </xf>
    <xf numFmtId="0" fontId="10" fillId="35" borderId="20" xfId="354" applyFont="1" applyFill="1" applyBorder="1" applyAlignment="1">
      <alignment horizontal="center" vertical="center" wrapText="1"/>
    </xf>
    <xf numFmtId="2" fontId="0" fillId="0" borderId="20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44" borderId="20" xfId="0" applyFont="1" applyFill="1" applyBorder="1" applyAlignment="1">
      <alignment horizontal="center" vertical="center"/>
    </xf>
    <xf numFmtId="0" fontId="2" fillId="44" borderId="20" xfId="0" applyFont="1" applyFill="1" applyBorder="1" applyAlignment="1">
      <alignment horizontal="center" vertical="center" wrapText="1"/>
    </xf>
    <xf numFmtId="0" fontId="101" fillId="44" borderId="20" xfId="0" applyFont="1" applyFill="1" applyBorder="1" applyAlignment="1">
      <alignment horizontal="center" vertical="center" wrapText="1"/>
    </xf>
    <xf numFmtId="2" fontId="0" fillId="44" borderId="20" xfId="0" applyNumberFormat="1" applyFont="1" applyFill="1" applyBorder="1" applyAlignment="1">
      <alignment horizontal="center" vertical="center"/>
    </xf>
    <xf numFmtId="2" fontId="95" fillId="0" borderId="2" xfId="354" applyNumberFormat="1" applyFont="1" applyFill="1" applyBorder="1" applyAlignment="1">
      <alignment horizontal="center" vertical="center"/>
    </xf>
    <xf numFmtId="0" fontId="102" fillId="0" borderId="21" xfId="0" applyFont="1" applyFill="1" applyBorder="1" applyAlignment="1">
      <alignment vertical="center" wrapText="1"/>
    </xf>
    <xf numFmtId="0" fontId="82" fillId="39" borderId="21" xfId="0" applyFont="1" applyFill="1" applyBorder="1" applyAlignment="1">
      <alignment horizontal="left" vertical="center" wrapText="1"/>
    </xf>
    <xf numFmtId="0" fontId="4" fillId="39" borderId="21" xfId="373" applyFont="1" applyFill="1" applyBorder="1" applyAlignment="1">
      <alignment horizontal="left" vertical="center" wrapText="1"/>
    </xf>
    <xf numFmtId="0" fontId="82" fillId="39" borderId="4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75" fillId="0" borderId="2" xfId="0" applyFont="1" applyFill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0" fillId="0" borderId="34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80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39" borderId="34" xfId="0" applyFill="1" applyBorder="1" applyAlignment="1">
      <alignment horizontal="center" vertical="center"/>
    </xf>
    <xf numFmtId="2" fontId="0" fillId="39" borderId="34" xfId="0" applyNumberFormat="1" applyFill="1" applyBorder="1" applyAlignment="1">
      <alignment horizontal="center" vertical="center"/>
    </xf>
    <xf numFmtId="2" fontId="75" fillId="0" borderId="34" xfId="0" applyNumberFormat="1" applyFont="1" applyBorder="1" applyAlignment="1">
      <alignment horizontal="center" vertical="center"/>
    </xf>
    <xf numFmtId="4" fontId="0" fillId="0" borderId="34" xfId="0" applyNumberForma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4" fontId="0" fillId="39" borderId="34" xfId="0" applyNumberFormat="1" applyFill="1" applyBorder="1" applyAlignment="1">
      <alignment horizontal="center" vertical="center"/>
    </xf>
    <xf numFmtId="4" fontId="0" fillId="44" borderId="34" xfId="0" applyNumberFormat="1" applyFill="1" applyBorder="1" applyAlignment="1">
      <alignment horizontal="center" vertical="center"/>
    </xf>
    <xf numFmtId="3" fontId="75" fillId="0" borderId="0" xfId="0" applyNumberFormat="1" applyFont="1" applyBorder="1" applyAlignment="1">
      <alignment horizontal="center"/>
    </xf>
    <xf numFmtId="0" fontId="0" fillId="0" borderId="40" xfId="0" applyBorder="1"/>
    <xf numFmtId="0" fontId="0" fillId="0" borderId="41" xfId="0" applyFill="1" applyBorder="1"/>
    <xf numFmtId="3" fontId="0" fillId="0" borderId="33" xfId="0" applyNumberFormat="1" applyBorder="1"/>
    <xf numFmtId="3" fontId="79" fillId="0" borderId="2" xfId="0" applyNumberFormat="1" applyFont="1" applyBorder="1" applyAlignment="1">
      <alignment horizontal="center"/>
    </xf>
    <xf numFmtId="3" fontId="79" fillId="0" borderId="41" xfId="0" applyNumberFormat="1" applyFont="1" applyBorder="1" applyAlignment="1">
      <alignment horizontal="center"/>
    </xf>
    <xf numFmtId="0" fontId="0" fillId="0" borderId="35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"/>
    </xf>
    <xf numFmtId="2" fontId="75" fillId="0" borderId="82" xfId="0" applyNumberFormat="1" applyFont="1" applyBorder="1" applyAlignment="1">
      <alignment horizontal="center" wrapText="1"/>
    </xf>
    <xf numFmtId="2" fontId="75" fillId="0" borderId="43" xfId="0" applyNumberFormat="1" applyFont="1" applyBorder="1" applyAlignment="1">
      <alignment horizontal="center" vertical="center"/>
    </xf>
    <xf numFmtId="0" fontId="79" fillId="0" borderId="0" xfId="0" applyFont="1" applyAlignment="1">
      <alignment horizontal="right"/>
    </xf>
    <xf numFmtId="2" fontId="79" fillId="0" borderId="0" xfId="0" applyNumberFormat="1" applyFont="1"/>
    <xf numFmtId="0" fontId="79" fillId="0" borderId="0" xfId="0" applyFont="1"/>
    <xf numFmtId="2" fontId="3" fillId="0" borderId="75" xfId="354" applyNumberFormat="1" applyFont="1" applyFill="1" applyBorder="1" applyAlignment="1">
      <alignment vertical="center"/>
    </xf>
    <xf numFmtId="2" fontId="0" fillId="0" borderId="75" xfId="0" applyNumberFormat="1" applyBorder="1" applyAlignment="1">
      <alignment horizontal="center" vertical="center"/>
    </xf>
    <xf numFmtId="2" fontId="3" fillId="0" borderId="38" xfId="354" applyNumberFormat="1" applyFont="1" applyFill="1" applyBorder="1" applyAlignment="1">
      <alignment horizontal="center" vertical="center"/>
    </xf>
    <xf numFmtId="2" fontId="69" fillId="0" borderId="2" xfId="354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68" fillId="39" borderId="2" xfId="0" applyFont="1" applyFill="1" applyBorder="1" applyAlignment="1">
      <alignment horizontal="center" vertical="center" wrapText="1"/>
    </xf>
    <xf numFmtId="169" fontId="78" fillId="0" borderId="2" xfId="354" applyNumberFormat="1" applyFont="1" applyBorder="1" applyAlignment="1">
      <alignment horizontal="center" vertical="center"/>
    </xf>
    <xf numFmtId="169" fontId="78" fillId="0" borderId="41" xfId="354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2" fontId="0" fillId="0" borderId="34" xfId="0" applyNumberForma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4" fontId="0" fillId="39" borderId="34" xfId="0" applyNumberFormat="1" applyFill="1" applyBorder="1" applyAlignment="1">
      <alignment horizontal="center" vertical="center"/>
    </xf>
    <xf numFmtId="2" fontId="0" fillId="0" borderId="34" xfId="0" applyNumberFormat="1" applyBorder="1" applyAlignment="1">
      <alignment horizontal="center"/>
    </xf>
    <xf numFmtId="2" fontId="75" fillId="0" borderId="34" xfId="0" applyNumberFormat="1" applyFont="1" applyBorder="1" applyAlignment="1">
      <alignment horizontal="center" vertical="center"/>
    </xf>
    <xf numFmtId="0" fontId="0" fillId="39" borderId="34" xfId="0" applyFill="1" applyBorder="1" applyAlignment="1">
      <alignment horizontal="center" vertical="center"/>
    </xf>
    <xf numFmtId="2" fontId="0" fillId="39" borderId="34" xfId="0" applyNumberForma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80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1" fillId="39" borderId="2" xfId="354" applyFont="1" applyFill="1" applyBorder="1" applyAlignment="1">
      <alignment horizontal="center" vertical="center" wrapText="1"/>
    </xf>
    <xf numFmtId="2" fontId="78" fillId="39" borderId="2" xfId="354" applyNumberFormat="1" applyFont="1" applyFill="1" applyBorder="1" applyAlignment="1">
      <alignment horizontal="center" vertical="center"/>
    </xf>
    <xf numFmtId="169" fontId="78" fillId="39" borderId="2" xfId="354" applyNumberFormat="1" applyFont="1" applyFill="1" applyBorder="1" applyAlignment="1">
      <alignment horizontal="center" vertical="center"/>
    </xf>
    <xf numFmtId="2" fontId="88" fillId="39" borderId="2" xfId="354" applyNumberFormat="1" applyFont="1" applyFill="1" applyBorder="1" applyAlignment="1">
      <alignment horizontal="center" vertical="center"/>
    </xf>
    <xf numFmtId="4" fontId="89" fillId="39" borderId="35" xfId="354" applyNumberFormat="1" applyFont="1" applyFill="1" applyBorder="1" applyAlignment="1">
      <alignment horizontal="center" vertical="center"/>
    </xf>
    <xf numFmtId="2" fontId="89" fillId="39" borderId="32" xfId="0" applyNumberFormat="1" applyFont="1" applyFill="1" applyBorder="1" applyAlignment="1">
      <alignment horizontal="center" vertical="center"/>
    </xf>
    <xf numFmtId="0" fontId="89" fillId="39" borderId="32" xfId="0" applyFont="1" applyFill="1" applyBorder="1" applyAlignment="1">
      <alignment horizontal="center" vertical="center"/>
    </xf>
    <xf numFmtId="0" fontId="2" fillId="0" borderId="2" xfId="354" applyFont="1" applyFill="1" applyBorder="1" applyAlignment="1">
      <alignment horizontal="center" vertical="center" wrapText="1"/>
    </xf>
    <xf numFmtId="4" fontId="76" fillId="0" borderId="2" xfId="0" applyNumberFormat="1" applyFont="1" applyBorder="1" applyAlignment="1">
      <alignment horizontal="center" vertical="center" readingOrder="1"/>
    </xf>
    <xf numFmtId="0" fontId="0" fillId="0" borderId="63" xfId="0" applyFill="1" applyBorder="1"/>
    <xf numFmtId="0" fontId="5" fillId="0" borderId="2" xfId="354" applyFont="1" applyFill="1" applyBorder="1" applyAlignment="1">
      <alignment horizontal="right" vertical="center"/>
    </xf>
    <xf numFmtId="0" fontId="74" fillId="0" borderId="0" xfId="354" applyFont="1" applyFill="1" applyBorder="1"/>
    <xf numFmtId="0" fontId="3" fillId="0" borderId="2" xfId="354" applyFont="1" applyFill="1" applyBorder="1" applyAlignment="1">
      <alignment vertical="center" wrapText="1"/>
    </xf>
    <xf numFmtId="0" fontId="3" fillId="0" borderId="2" xfId="354" applyFont="1" applyFill="1" applyBorder="1" applyAlignment="1">
      <alignment horizontal="center" vertical="center" wrapText="1"/>
    </xf>
    <xf numFmtId="0" fontId="94" fillId="0" borderId="2" xfId="354" applyFont="1" applyFill="1" applyBorder="1"/>
    <xf numFmtId="0" fontId="94" fillId="0" borderId="32" xfId="354" applyFont="1" applyFill="1" applyBorder="1"/>
    <xf numFmtId="2" fontId="3" fillId="0" borderId="2" xfId="354" applyNumberFormat="1" applyFont="1" applyFill="1" applyBorder="1" applyAlignment="1">
      <alignment vertical="center"/>
    </xf>
    <xf numFmtId="2" fontId="74" fillId="0" borderId="2" xfId="354" applyNumberFormat="1" applyFont="1" applyFill="1" applyBorder="1" applyAlignment="1">
      <alignment horizontal="center" vertical="center"/>
    </xf>
    <xf numFmtId="0" fontId="74" fillId="0" borderId="0" xfId="354" applyFont="1" applyFill="1" applyBorder="1" applyAlignment="1">
      <alignment horizontal="center"/>
    </xf>
    <xf numFmtId="170" fontId="74" fillId="0" borderId="0" xfId="354" applyNumberFormat="1" applyFont="1" applyFill="1" applyBorder="1"/>
    <xf numFmtId="2" fontId="74" fillId="0" borderId="0" xfId="354" applyNumberFormat="1" applyFont="1" applyFill="1" applyBorder="1"/>
    <xf numFmtId="2" fontId="79" fillId="0" borderId="2" xfId="354" applyNumberFormat="1" applyFont="1" applyFill="1" applyBorder="1" applyAlignment="1">
      <alignment horizontal="center" vertical="center"/>
    </xf>
    <xf numFmtId="4" fontId="76" fillId="0" borderId="2" xfId="0" applyNumberFormat="1" applyFont="1" applyFill="1" applyBorder="1" applyAlignment="1">
      <alignment horizontal="center" vertical="center" readingOrder="1"/>
    </xf>
    <xf numFmtId="2" fontId="75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76" fillId="0" borderId="2" xfId="0" applyNumberFormat="1" applyFont="1" applyFill="1" applyBorder="1" applyAlignment="1">
      <alignment horizontal="center" vertical="center"/>
    </xf>
    <xf numFmtId="2" fontId="76" fillId="0" borderId="2" xfId="0" applyNumberFormat="1" applyFont="1" applyFill="1" applyBorder="1" applyAlignment="1">
      <alignment horizontal="center" vertical="center" readingOrder="1"/>
    </xf>
    <xf numFmtId="0" fontId="71" fillId="0" borderId="2" xfId="354" applyFont="1" applyFill="1" applyBorder="1" applyAlignment="1">
      <alignment horizontal="center"/>
    </xf>
    <xf numFmtId="0" fontId="91" fillId="0" borderId="2" xfId="0" applyFont="1" applyFill="1" applyBorder="1" applyAlignment="1">
      <alignment horizontal="center" vertical="center"/>
    </xf>
    <xf numFmtId="2" fontId="0" fillId="0" borderId="2" xfId="0" applyNumberFormat="1" applyFill="1" applyBorder="1"/>
    <xf numFmtId="2" fontId="91" fillId="0" borderId="2" xfId="0" applyNumberFormat="1" applyFont="1" applyFill="1" applyBorder="1" applyAlignment="1">
      <alignment horizontal="center" vertical="center"/>
    </xf>
    <xf numFmtId="3" fontId="76" fillId="0" borderId="2" xfId="0" applyNumberFormat="1" applyFont="1" applyFill="1" applyBorder="1" applyAlignment="1">
      <alignment horizontal="center" vertical="center" readingOrder="1"/>
    </xf>
    <xf numFmtId="2" fontId="76" fillId="0" borderId="2" xfId="0" applyNumberFormat="1" applyFont="1" applyFill="1" applyBorder="1" applyAlignment="1">
      <alignment vertical="center" readingOrder="1"/>
    </xf>
    <xf numFmtId="4" fontId="76" fillId="0" borderId="2" xfId="0" applyNumberFormat="1" applyFont="1" applyFill="1" applyBorder="1" applyAlignment="1">
      <alignment vertical="center" readingOrder="1"/>
    </xf>
    <xf numFmtId="14" fontId="10" fillId="0" borderId="2" xfId="354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170" fontId="0" fillId="0" borderId="38" xfId="0" applyNumberFormat="1" applyFill="1" applyBorder="1" applyAlignment="1">
      <alignment horizontal="center"/>
    </xf>
    <xf numFmtId="0" fontId="74" fillId="0" borderId="38" xfId="354" applyFont="1" applyFill="1" applyBorder="1"/>
    <xf numFmtId="2" fontId="3" fillId="0" borderId="38" xfId="354" applyNumberFormat="1" applyFont="1" applyFill="1" applyBorder="1" applyAlignment="1"/>
    <xf numFmtId="2" fontId="79" fillId="0" borderId="38" xfId="354" applyNumberFormat="1" applyFont="1" applyFill="1" applyBorder="1" applyAlignment="1">
      <alignment horizontal="center" vertical="center"/>
    </xf>
    <xf numFmtId="0" fontId="0" fillId="0" borderId="39" xfId="0" applyFill="1" applyBorder="1"/>
    <xf numFmtId="2" fontId="103" fillId="0" borderId="35" xfId="0" applyNumberFormat="1" applyFont="1" applyFill="1" applyBorder="1" applyAlignment="1">
      <alignment horizontal="center" vertical="center"/>
    </xf>
    <xf numFmtId="0" fontId="69" fillId="0" borderId="2" xfId="354" applyFont="1" applyFill="1" applyBorder="1" applyAlignment="1">
      <alignment horizontal="center" vertical="center"/>
    </xf>
    <xf numFmtId="0" fontId="67" fillId="0" borderId="2" xfId="354" applyFont="1" applyFill="1" applyBorder="1" applyAlignment="1">
      <alignment horizontal="center" vertical="center"/>
    </xf>
    <xf numFmtId="0" fontId="108" fillId="0" borderId="58" xfId="0" applyFont="1" applyFill="1" applyBorder="1" applyAlignment="1">
      <alignment vertical="center" wrapText="1"/>
    </xf>
    <xf numFmtId="0" fontId="108" fillId="0" borderId="25" xfId="0" applyFont="1" applyFill="1" applyBorder="1" applyAlignment="1">
      <alignment vertical="center" wrapText="1"/>
    </xf>
    <xf numFmtId="207" fontId="76" fillId="0" borderId="2" xfId="0" applyNumberFormat="1" applyFont="1" applyBorder="1" applyAlignment="1">
      <alignment horizontal="center" vertical="center" readingOrder="1"/>
    </xf>
    <xf numFmtId="2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5" fillId="36" borderId="20" xfId="0" applyFont="1" applyFill="1" applyBorder="1" applyAlignment="1">
      <alignment horizontal="center" vertical="center" wrapText="1"/>
    </xf>
    <xf numFmtId="0" fontId="87" fillId="0" borderId="2" xfId="354" applyFont="1" applyFill="1" applyBorder="1" applyAlignment="1">
      <alignment horizontal="center" vertical="center" wrapText="1"/>
    </xf>
    <xf numFmtId="4" fontId="75" fillId="0" borderId="0" xfId="0" applyNumberFormat="1" applyFont="1" applyBorder="1" applyAlignment="1">
      <alignment horizontal="center"/>
    </xf>
    <xf numFmtId="0" fontId="0" fillId="0" borderId="44" xfId="0" applyFill="1" applyBorder="1" applyAlignment="1">
      <alignment vertical="center"/>
    </xf>
    <xf numFmtId="4" fontId="0" fillId="0" borderId="44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169" fontId="0" fillId="0" borderId="44" xfId="0" applyNumberFormat="1" applyFill="1" applyBorder="1" applyAlignment="1">
      <alignment horizontal="center" vertical="center"/>
    </xf>
    <xf numFmtId="0" fontId="0" fillId="0" borderId="44" xfId="0" applyFill="1" applyBorder="1"/>
    <xf numFmtId="0" fontId="0" fillId="0" borderId="44" xfId="0" applyBorder="1"/>
    <xf numFmtId="0" fontId="0" fillId="0" borderId="44" xfId="0" applyBorder="1" applyAlignment="1">
      <alignment horizontal="left"/>
    </xf>
    <xf numFmtId="14" fontId="86" fillId="0" borderId="44" xfId="0" applyNumberFormat="1" applyFont="1" applyFill="1" applyBorder="1" applyAlignment="1">
      <alignment horizontal="center" vertical="center"/>
    </xf>
    <xf numFmtId="14" fontId="0" fillId="0" borderId="44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left" vertical="center"/>
    </xf>
    <xf numFmtId="4" fontId="0" fillId="0" borderId="21" xfId="0" applyNumberFormat="1" applyBorder="1" applyAlignment="1">
      <alignment horizontal="center" vertical="center"/>
    </xf>
    <xf numFmtId="2" fontId="94" fillId="35" borderId="21" xfId="354" applyNumberFormat="1" applyFont="1" applyFill="1" applyBorder="1" applyAlignment="1">
      <alignment horizontal="center" vertical="center" wrapText="1"/>
    </xf>
    <xf numFmtId="169" fontId="0" fillId="0" borderId="21" xfId="0" applyNumberFormat="1" applyFill="1" applyBorder="1" applyAlignment="1">
      <alignment horizontal="center" vertical="center"/>
    </xf>
    <xf numFmtId="0" fontId="0" fillId="0" borderId="21" xfId="0" applyFill="1" applyBorder="1"/>
    <xf numFmtId="0" fontId="0" fillId="0" borderId="21" xfId="0" applyBorder="1" applyAlignment="1">
      <alignment horizontal="left"/>
    </xf>
    <xf numFmtId="14" fontId="86" fillId="0" borderId="21" xfId="0" applyNumberFormat="1" applyFont="1" applyFill="1" applyBorder="1" applyAlignment="1">
      <alignment horizontal="center" vertical="center"/>
    </xf>
    <xf numFmtId="14" fontId="0" fillId="0" borderId="21" xfId="0" applyNumberFormat="1" applyBorder="1" applyAlignment="1">
      <alignment horizontal="center"/>
    </xf>
    <xf numFmtId="0" fontId="0" fillId="44" borderId="21" xfId="0" applyFill="1" applyBorder="1"/>
    <xf numFmtId="4" fontId="0" fillId="0" borderId="21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23" xfId="0" applyFill="1" applyBorder="1" applyAlignment="1">
      <alignment horizontal="center" vertical="center"/>
    </xf>
    <xf numFmtId="0" fontId="75" fillId="0" borderId="23" xfId="0" applyFont="1" applyFill="1" applyBorder="1" applyAlignment="1">
      <alignment horizontal="right"/>
    </xf>
    <xf numFmtId="2" fontId="75" fillId="0" borderId="23" xfId="0" applyNumberFormat="1" applyFont="1" applyFill="1" applyBorder="1" applyAlignment="1">
      <alignment horizontal="center"/>
    </xf>
    <xf numFmtId="169" fontId="0" fillId="0" borderId="23" xfId="0" applyNumberFormat="1" applyFill="1" applyBorder="1" applyAlignment="1">
      <alignment horizontal="center"/>
    </xf>
    <xf numFmtId="0" fontId="0" fillId="0" borderId="23" xfId="0" applyFill="1" applyBorder="1"/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3" xfId="0" applyBorder="1" applyAlignment="1">
      <alignment horizontal="center"/>
    </xf>
    <xf numFmtId="14" fontId="0" fillId="0" borderId="23" xfId="0" applyNumberForma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39" borderId="44" xfId="0" applyFill="1" applyBorder="1"/>
    <xf numFmtId="0" fontId="0" fillId="42" borderId="44" xfId="0" applyFill="1" applyBorder="1"/>
    <xf numFmtId="0" fontId="0" fillId="42" borderId="21" xfId="0" applyFill="1" applyBorder="1"/>
    <xf numFmtId="14" fontId="0" fillId="0" borderId="21" xfId="0" applyNumberFormat="1" applyFont="1" applyBorder="1" applyAlignment="1">
      <alignment horizontal="center"/>
    </xf>
    <xf numFmtId="14" fontId="0" fillId="0" borderId="21" xfId="0" applyNumberFormat="1" applyFont="1" applyFill="1" applyBorder="1" applyAlignment="1">
      <alignment horizontal="center" vertical="center"/>
    </xf>
    <xf numFmtId="14" fontId="94" fillId="0" borderId="21" xfId="354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94" fillId="0" borderId="21" xfId="354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/>
    </xf>
    <xf numFmtId="4" fontId="0" fillId="0" borderId="44" xfId="0" applyNumberFormat="1" applyFill="1" applyBorder="1" applyAlignment="1">
      <alignment horizontal="center" vertical="center"/>
    </xf>
    <xf numFmtId="4" fontId="0" fillId="0" borderId="44" xfId="0" applyNumberFormat="1" applyFill="1" applyBorder="1" applyAlignment="1">
      <alignment vertical="center"/>
    </xf>
    <xf numFmtId="2" fontId="0" fillId="0" borderId="44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4" fontId="0" fillId="0" borderId="21" xfId="0" applyNumberFormat="1" applyFill="1" applyBorder="1" applyAlignment="1">
      <alignment vertical="center"/>
    </xf>
    <xf numFmtId="2" fontId="0" fillId="0" borderId="21" xfId="0" applyNumberFormat="1" applyBorder="1" applyAlignment="1">
      <alignment horizontal="center"/>
    </xf>
    <xf numFmtId="0" fontId="0" fillId="0" borderId="21" xfId="0" applyFill="1" applyBorder="1" applyAlignment="1">
      <alignment wrapText="1"/>
    </xf>
    <xf numFmtId="4" fontId="0" fillId="0" borderId="21" xfId="0" applyNumberFormat="1" applyBorder="1"/>
    <xf numFmtId="1" fontId="0" fillId="0" borderId="21" xfId="0" applyNumberFormat="1" applyFill="1" applyBorder="1" applyAlignment="1">
      <alignment horizontal="center" vertical="center"/>
    </xf>
    <xf numFmtId="0" fontId="75" fillId="0" borderId="21" xfId="0" applyFont="1" applyBorder="1" applyAlignment="1">
      <alignment horizontal="right"/>
    </xf>
    <xf numFmtId="4" fontId="75" fillId="0" borderId="21" xfId="0" applyNumberFormat="1" applyFon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0" fillId="0" borderId="21" xfId="0" applyFill="1" applyBorder="1" applyAlignment="1">
      <alignment vertical="center"/>
    </xf>
    <xf numFmtId="0" fontId="77" fillId="40" borderId="83" xfId="0" applyFont="1" applyFill="1" applyBorder="1" applyAlignment="1">
      <alignment horizontal="center" vertical="center"/>
    </xf>
    <xf numFmtId="0" fontId="77" fillId="40" borderId="66" xfId="0" applyFont="1" applyFill="1" applyBorder="1" applyAlignment="1">
      <alignment horizontal="center" vertical="center"/>
    </xf>
    <xf numFmtId="0" fontId="104" fillId="40" borderId="19" xfId="0" applyFont="1" applyFill="1" applyBorder="1" applyAlignment="1">
      <alignment horizontal="center" vertical="center" wrapText="1"/>
    </xf>
    <xf numFmtId="0" fontId="104" fillId="40" borderId="16" xfId="0" applyFont="1" applyFill="1" applyBorder="1" applyAlignment="1">
      <alignment horizontal="center" vertical="center" wrapText="1"/>
    </xf>
    <xf numFmtId="0" fontId="105" fillId="39" borderId="84" xfId="0" applyFont="1" applyFill="1" applyBorder="1" applyAlignment="1">
      <alignment horizontal="center" vertical="center"/>
    </xf>
    <xf numFmtId="0" fontId="105" fillId="39" borderId="6" xfId="0" applyFont="1" applyFill="1" applyBorder="1" applyAlignment="1">
      <alignment horizontal="center" vertical="center"/>
    </xf>
    <xf numFmtId="0" fontId="105" fillId="39" borderId="85" xfId="0" applyFont="1" applyFill="1" applyBorder="1" applyAlignment="1">
      <alignment horizontal="center" vertical="center"/>
    </xf>
    <xf numFmtId="0" fontId="76" fillId="39" borderId="30" xfId="0" applyFont="1" applyFill="1" applyBorder="1" applyAlignment="1">
      <alignment horizontal="center" vertical="center"/>
    </xf>
    <xf numFmtId="0" fontId="76" fillId="39" borderId="28" xfId="0" applyFont="1" applyFill="1" applyBorder="1" applyAlignment="1">
      <alignment horizontal="center" vertical="center"/>
    </xf>
    <xf numFmtId="0" fontId="8" fillId="5" borderId="8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5" xfId="0" applyFont="1" applyFill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168" fontId="5" fillId="39" borderId="84" xfId="0" applyNumberFormat="1" applyFont="1" applyFill="1" applyBorder="1" applyAlignment="1">
      <alignment horizontal="center" vertical="center" wrapText="1"/>
    </xf>
    <xf numFmtId="168" fontId="5" fillId="39" borderId="6" xfId="0" applyNumberFormat="1" applyFont="1" applyFill="1" applyBorder="1" applyAlignment="1">
      <alignment horizontal="center" vertical="center" wrapText="1"/>
    </xf>
    <xf numFmtId="168" fontId="5" fillId="39" borderId="85" xfId="0" applyNumberFormat="1" applyFont="1" applyFill="1" applyBorder="1" applyAlignment="1">
      <alignment horizontal="center" vertical="center" wrapText="1"/>
    </xf>
    <xf numFmtId="0" fontId="5" fillId="39" borderId="84" xfId="0" applyFont="1" applyFill="1" applyBorder="1" applyAlignment="1">
      <alignment horizontal="center" vertical="center" wrapText="1"/>
    </xf>
    <xf numFmtId="0" fontId="5" fillId="39" borderId="6" xfId="0" applyFont="1" applyFill="1" applyBorder="1" applyAlignment="1">
      <alignment horizontal="center" vertical="center" wrapText="1"/>
    </xf>
    <xf numFmtId="0" fontId="5" fillId="39" borderId="85" xfId="0" applyFont="1" applyFill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9" fillId="40" borderId="84" xfId="0" applyFont="1" applyFill="1" applyBorder="1" applyAlignment="1">
      <alignment horizontal="left" vertical="center" wrapText="1"/>
    </xf>
    <xf numFmtId="0" fontId="9" fillId="40" borderId="6" xfId="0" applyFont="1" applyFill="1" applyBorder="1" applyAlignment="1">
      <alignment horizontal="left" vertical="center" wrapText="1"/>
    </xf>
    <xf numFmtId="0" fontId="9" fillId="40" borderId="85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38" borderId="84" xfId="0" applyFont="1" applyFill="1" applyBorder="1" applyAlignment="1">
      <alignment horizontal="center" vertical="center"/>
    </xf>
    <xf numFmtId="0" fontId="8" fillId="38" borderId="6" xfId="0" applyFont="1" applyFill="1" applyBorder="1" applyAlignment="1">
      <alignment horizontal="center" vertical="center"/>
    </xf>
    <xf numFmtId="0" fontId="8" fillId="38" borderId="8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2" fontId="3" fillId="0" borderId="22" xfId="0" applyNumberFormat="1" applyFon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76" fillId="0" borderId="62" xfId="0" applyFont="1" applyBorder="1" applyAlignment="1">
      <alignment horizontal="center" vertical="center"/>
    </xf>
    <xf numFmtId="0" fontId="76" fillId="0" borderId="59" xfId="0" applyFont="1" applyBorder="1" applyAlignment="1">
      <alignment horizontal="center" vertical="center"/>
    </xf>
    <xf numFmtId="0" fontId="76" fillId="0" borderId="86" xfId="0" applyFont="1" applyBorder="1" applyAlignment="1">
      <alignment horizontal="center" vertical="center"/>
    </xf>
    <xf numFmtId="0" fontId="76" fillId="0" borderId="63" xfId="0" applyFont="1" applyBorder="1" applyAlignment="1">
      <alignment horizontal="center" vertical="center"/>
    </xf>
    <xf numFmtId="0" fontId="76" fillId="0" borderId="26" xfId="0" applyFont="1" applyBorder="1" applyAlignment="1">
      <alignment horizontal="center" vertical="center"/>
    </xf>
    <xf numFmtId="0" fontId="76" fillId="0" borderId="2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/>
    </xf>
    <xf numFmtId="0" fontId="76" fillId="0" borderId="32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 vertical="center"/>
    </xf>
    <xf numFmtId="0" fontId="76" fillId="0" borderId="37" xfId="0" applyFont="1" applyBorder="1" applyAlignment="1">
      <alignment horizontal="center" vertical="center"/>
    </xf>
    <xf numFmtId="0" fontId="76" fillId="0" borderId="87" xfId="0" applyFont="1" applyBorder="1" applyAlignment="1">
      <alignment horizontal="center" vertical="center"/>
    </xf>
    <xf numFmtId="0" fontId="78" fillId="0" borderId="88" xfId="0" applyFont="1" applyBorder="1" applyAlignment="1">
      <alignment horizontal="center"/>
    </xf>
    <xf numFmtId="0" fontId="78" fillId="0" borderId="7" xfId="0" applyFont="1" applyBorder="1" applyAlignment="1">
      <alignment horizontal="center"/>
    </xf>
    <xf numFmtId="0" fontId="78" fillId="0" borderId="57" xfId="0" applyFont="1" applyBorder="1" applyAlignment="1">
      <alignment horizontal="center"/>
    </xf>
    <xf numFmtId="0" fontId="77" fillId="0" borderId="84" xfId="0" applyFont="1" applyFill="1" applyBorder="1" applyAlignment="1">
      <alignment horizontal="center" vertical="center"/>
    </xf>
    <xf numFmtId="0" fontId="77" fillId="0" borderId="6" xfId="0" applyFont="1" applyFill="1" applyBorder="1" applyAlignment="1">
      <alignment horizontal="center" vertical="center"/>
    </xf>
    <xf numFmtId="0" fontId="77" fillId="0" borderId="85" xfId="0" applyFont="1" applyFill="1" applyBorder="1" applyAlignment="1">
      <alignment horizontal="center" vertical="center"/>
    </xf>
    <xf numFmtId="14" fontId="86" fillId="0" borderId="21" xfId="0" applyNumberFormat="1" applyFont="1" applyFill="1" applyBorder="1" applyAlignment="1">
      <alignment horizontal="center" vertical="center"/>
    </xf>
    <xf numFmtId="0" fontId="77" fillId="40" borderId="84" xfId="0" applyFont="1" applyFill="1" applyBorder="1" applyAlignment="1">
      <alignment horizontal="left" vertical="center"/>
    </xf>
    <xf numFmtId="0" fontId="77" fillId="40" borderId="85" xfId="0" applyFont="1" applyFill="1" applyBorder="1" applyAlignment="1">
      <alignment horizontal="left" vertical="center"/>
    </xf>
    <xf numFmtId="0" fontId="77" fillId="36" borderId="89" xfId="0" applyFont="1" applyFill="1" applyBorder="1" applyAlignment="1">
      <alignment horizontal="center" vertical="center" wrapText="1"/>
    </xf>
    <xf numFmtId="0" fontId="77" fillId="36" borderId="90" xfId="0" applyFont="1" applyFill="1" applyBorder="1" applyAlignment="1">
      <alignment horizontal="center" vertical="center" wrapText="1"/>
    </xf>
    <xf numFmtId="0" fontId="75" fillId="36" borderId="44" xfId="0" applyFont="1" applyFill="1" applyBorder="1" applyAlignment="1">
      <alignment horizontal="center" vertical="center" wrapText="1"/>
    </xf>
    <xf numFmtId="0" fontId="75" fillId="36" borderId="23" xfId="0" applyFont="1" applyFill="1" applyBorder="1" applyAlignment="1">
      <alignment horizontal="center" vertical="center" wrapText="1"/>
    </xf>
    <xf numFmtId="0" fontId="75" fillId="36" borderId="44" xfId="0" applyFont="1" applyFill="1" applyBorder="1" applyAlignment="1">
      <alignment horizontal="left" vertical="center" wrapText="1"/>
    </xf>
    <xf numFmtId="0" fontId="75" fillId="36" borderId="23" xfId="0" applyFont="1" applyFill="1" applyBorder="1" applyAlignment="1">
      <alignment horizontal="left" vertical="center" wrapText="1"/>
    </xf>
    <xf numFmtId="16" fontId="93" fillId="37" borderId="84" xfId="0" applyNumberFormat="1" applyFont="1" applyFill="1" applyBorder="1" applyAlignment="1">
      <alignment horizontal="center" vertical="center" wrapText="1"/>
    </xf>
    <xf numFmtId="0" fontId="93" fillId="37" borderId="85" xfId="0" applyFont="1" applyFill="1" applyBorder="1" applyAlignment="1">
      <alignment horizontal="center" vertical="center" wrapText="1"/>
    </xf>
    <xf numFmtId="0" fontId="79" fillId="36" borderId="19" xfId="0" applyFont="1" applyFill="1" applyBorder="1" applyAlignment="1">
      <alignment horizontal="center" vertical="center" wrapText="1"/>
    </xf>
    <xf numFmtId="0" fontId="79" fillId="36" borderId="16" xfId="0" applyFont="1" applyFill="1" applyBorder="1" applyAlignment="1">
      <alignment horizontal="center" vertical="center" wrapText="1"/>
    </xf>
    <xf numFmtId="0" fontId="77" fillId="36" borderId="19" xfId="0" applyFont="1" applyFill="1" applyBorder="1" applyAlignment="1">
      <alignment horizontal="center" vertical="center" wrapText="1"/>
    </xf>
    <xf numFmtId="0" fontId="77" fillId="36" borderId="16" xfId="0" applyFont="1" applyFill="1" applyBorder="1" applyAlignment="1">
      <alignment horizontal="center" vertical="center" wrapText="1"/>
    </xf>
    <xf numFmtId="0" fontId="75" fillId="36" borderId="19" xfId="0" applyFont="1" applyFill="1" applyBorder="1" applyAlignment="1">
      <alignment horizontal="center" vertical="center" wrapText="1"/>
    </xf>
    <xf numFmtId="0" fontId="75" fillId="36" borderId="16" xfId="0" applyFont="1" applyFill="1" applyBorder="1" applyAlignment="1">
      <alignment horizontal="center" vertical="center" wrapText="1"/>
    </xf>
    <xf numFmtId="0" fontId="75" fillId="36" borderId="83" xfId="0" applyFont="1" applyFill="1" applyBorder="1" applyAlignment="1">
      <alignment horizontal="center" vertical="center"/>
    </xf>
    <xf numFmtId="0" fontId="75" fillId="36" borderId="64" xfId="0" applyFont="1" applyFill="1" applyBorder="1" applyAlignment="1">
      <alignment horizontal="center" vertical="center"/>
    </xf>
    <xf numFmtId="0" fontId="75" fillId="36" borderId="66" xfId="0" applyFont="1" applyFill="1" applyBorder="1" applyAlignment="1">
      <alignment horizontal="center" vertical="center"/>
    </xf>
    <xf numFmtId="0" fontId="106" fillId="47" borderId="84" xfId="0" applyFont="1" applyFill="1" applyBorder="1" applyAlignment="1">
      <alignment horizontal="left" vertical="center"/>
    </xf>
    <xf numFmtId="0" fontId="106" fillId="47" borderId="85" xfId="0" applyFont="1" applyFill="1" applyBorder="1" applyAlignment="1">
      <alignment horizontal="left" vertical="center"/>
    </xf>
    <xf numFmtId="0" fontId="76" fillId="40" borderId="84" xfId="0" applyFont="1" applyFill="1" applyBorder="1" applyAlignment="1">
      <alignment horizontal="center" vertical="center"/>
    </xf>
    <xf numFmtId="0" fontId="76" fillId="40" borderId="6" xfId="0" applyFont="1" applyFill="1" applyBorder="1" applyAlignment="1">
      <alignment horizontal="center" vertical="center"/>
    </xf>
    <xf numFmtId="0" fontId="76" fillId="40" borderId="85" xfId="0" applyFont="1" applyFill="1" applyBorder="1" applyAlignment="1">
      <alignment horizontal="center" vertical="center"/>
    </xf>
    <xf numFmtId="2" fontId="3" fillId="0" borderId="35" xfId="354" applyNumberFormat="1" applyFont="1" applyFill="1" applyBorder="1" applyAlignment="1">
      <alignment horizontal="center" vertical="center"/>
    </xf>
    <xf numFmtId="2" fontId="3" fillId="0" borderId="7" xfId="354" applyNumberFormat="1" applyFont="1" applyFill="1" applyBorder="1" applyAlignment="1">
      <alignment horizontal="center" vertical="center"/>
    </xf>
    <xf numFmtId="2" fontId="3" fillId="0" borderId="34" xfId="354" applyNumberFormat="1" applyFont="1" applyFill="1" applyBorder="1" applyAlignment="1">
      <alignment horizontal="center" vertical="center"/>
    </xf>
    <xf numFmtId="0" fontId="3" fillId="0" borderId="38" xfId="354" applyFont="1" applyFill="1" applyBorder="1" applyAlignment="1">
      <alignment horizontal="center" vertical="center"/>
    </xf>
    <xf numFmtId="0" fontId="3" fillId="0" borderId="36" xfId="354" applyFont="1" applyFill="1" applyBorder="1" applyAlignment="1">
      <alignment horizontal="center" vertical="center"/>
    </xf>
    <xf numFmtId="0" fontId="98" fillId="0" borderId="38" xfId="0" applyFont="1" applyFill="1" applyBorder="1" applyAlignment="1">
      <alignment horizontal="center" vertical="center" readingOrder="1"/>
    </xf>
    <xf numFmtId="0" fontId="98" fillId="0" borderId="36" xfId="0" applyFont="1" applyFill="1" applyBorder="1" applyAlignment="1">
      <alignment horizontal="center" vertical="center" readingOrder="1"/>
    </xf>
    <xf numFmtId="0" fontId="10" fillId="0" borderId="35" xfId="354" applyFont="1" applyFill="1" applyBorder="1" applyAlignment="1">
      <alignment horizontal="center" vertical="center" wrapText="1"/>
    </xf>
    <xf numFmtId="0" fontId="10" fillId="0" borderId="7" xfId="354" applyFont="1" applyFill="1" applyBorder="1" applyAlignment="1">
      <alignment horizontal="center" vertical="center" wrapText="1"/>
    </xf>
    <xf numFmtId="0" fontId="10" fillId="0" borderId="34" xfId="354" applyFont="1" applyFill="1" applyBorder="1" applyAlignment="1">
      <alignment horizontal="center" vertical="center" wrapText="1"/>
    </xf>
    <xf numFmtId="0" fontId="98" fillId="0" borderId="2" xfId="0" applyFont="1" applyFill="1" applyBorder="1" applyAlignment="1">
      <alignment horizontal="center" vertical="center" readingOrder="1"/>
    </xf>
    <xf numFmtId="0" fontId="10" fillId="0" borderId="2" xfId="354" applyFont="1" applyFill="1" applyBorder="1" applyAlignment="1">
      <alignment horizontal="center" vertical="center" wrapText="1"/>
    </xf>
    <xf numFmtId="0" fontId="107" fillId="0" borderId="38" xfId="0" applyFont="1" applyFill="1" applyBorder="1" applyAlignment="1">
      <alignment horizontal="center" vertical="center" wrapText="1" readingOrder="1"/>
    </xf>
    <xf numFmtId="0" fontId="107" fillId="0" borderId="36" xfId="0" applyFont="1" applyFill="1" applyBorder="1" applyAlignment="1">
      <alignment horizontal="center" vertical="center" wrapText="1" readingOrder="1"/>
    </xf>
    <xf numFmtId="0" fontId="67" fillId="0" borderId="26" xfId="354" applyFont="1" applyFill="1" applyBorder="1" applyAlignment="1">
      <alignment horizontal="center" vertical="center" wrapText="1"/>
    </xf>
    <xf numFmtId="0" fontId="67" fillId="0" borderId="2" xfId="354" applyFont="1" applyFill="1" applyBorder="1" applyAlignment="1">
      <alignment horizontal="center" vertical="center" wrapText="1"/>
    </xf>
    <xf numFmtId="0" fontId="3" fillId="0" borderId="2" xfId="354" applyFont="1" applyFill="1" applyBorder="1" applyAlignment="1">
      <alignment horizontal="center" vertical="center" textRotation="90" wrapText="1"/>
    </xf>
    <xf numFmtId="1" fontId="74" fillId="0" borderId="2" xfId="354" applyNumberFormat="1" applyFont="1" applyFill="1" applyBorder="1" applyAlignment="1">
      <alignment horizontal="center" vertical="center"/>
    </xf>
    <xf numFmtId="0" fontId="100" fillId="0" borderId="2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8" fillId="0" borderId="38" xfId="0" applyFont="1" applyFill="1" applyBorder="1" applyAlignment="1">
      <alignment horizontal="center" vertical="center" wrapText="1" readingOrder="1"/>
    </xf>
    <xf numFmtId="0" fontId="78" fillId="0" borderId="36" xfId="0" applyFont="1" applyFill="1" applyBorder="1" applyAlignment="1">
      <alignment horizontal="center" vertical="center" wrapText="1" readingOrder="1"/>
    </xf>
    <xf numFmtId="0" fontId="3" fillId="0" borderId="2" xfId="354" applyFont="1" applyFill="1" applyBorder="1" applyAlignment="1">
      <alignment horizontal="center" vertical="center"/>
    </xf>
    <xf numFmtId="0" fontId="107" fillId="0" borderId="2" xfId="0" applyFont="1" applyFill="1" applyBorder="1" applyAlignment="1">
      <alignment horizontal="center" vertical="center" wrapText="1" readingOrder="1"/>
    </xf>
    <xf numFmtId="0" fontId="64" fillId="0" borderId="2" xfId="354" applyFont="1" applyFill="1" applyBorder="1" applyAlignment="1">
      <alignment horizontal="center" vertical="center" wrapText="1" readingOrder="1"/>
    </xf>
    <xf numFmtId="0" fontId="8" fillId="0" borderId="80" xfId="354" applyFont="1" applyFill="1" applyBorder="1" applyAlignment="1">
      <alignment horizontal="center" vertical="center" wrapText="1"/>
    </xf>
    <xf numFmtId="0" fontId="8" fillId="0" borderId="65" xfId="354" applyFont="1" applyFill="1" applyBorder="1" applyAlignment="1">
      <alignment horizontal="center" vertical="center" wrapText="1"/>
    </xf>
    <xf numFmtId="0" fontId="8" fillId="0" borderId="81" xfId="354" applyFont="1" applyFill="1" applyBorder="1" applyAlignment="1">
      <alignment horizontal="center" vertical="center" wrapText="1"/>
    </xf>
    <xf numFmtId="14" fontId="2" fillId="0" borderId="2" xfId="354" applyNumberFormat="1" applyFont="1" applyFill="1" applyBorder="1" applyAlignment="1">
      <alignment horizontal="center" vertical="center" wrapText="1"/>
    </xf>
    <xf numFmtId="0" fontId="2" fillId="0" borderId="2" xfId="354" applyFont="1" applyFill="1" applyBorder="1" applyAlignment="1">
      <alignment horizontal="center" vertical="center" wrapText="1"/>
    </xf>
    <xf numFmtId="0" fontId="108" fillId="0" borderId="27" xfId="0" applyFont="1" applyFill="1" applyBorder="1" applyAlignment="1">
      <alignment horizontal="center" vertical="center" wrapText="1"/>
    </xf>
    <xf numFmtId="0" fontId="108" fillId="0" borderId="58" xfId="0" applyFont="1" applyFill="1" applyBorder="1" applyAlignment="1">
      <alignment horizontal="center" vertical="center" wrapText="1"/>
    </xf>
    <xf numFmtId="0" fontId="98" fillId="0" borderId="38" xfId="0" applyFont="1" applyFill="1" applyBorder="1" applyAlignment="1">
      <alignment horizontal="center" vertical="center" wrapText="1" readingOrder="1"/>
    </xf>
    <xf numFmtId="0" fontId="98" fillId="0" borderId="76" xfId="0" applyFont="1" applyFill="1" applyBorder="1" applyAlignment="1">
      <alignment horizontal="center" vertical="center" wrapText="1" readingOrder="1"/>
    </xf>
    <xf numFmtId="0" fontId="0" fillId="0" borderId="38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8" fillId="0" borderId="38" xfId="0" applyFont="1" applyBorder="1" applyAlignment="1">
      <alignment horizontal="center" vertical="center" wrapText="1" readingOrder="1"/>
    </xf>
    <xf numFmtId="0" fontId="78" fillId="0" borderId="36" xfId="0" applyFont="1" applyBorder="1" applyAlignment="1">
      <alignment horizontal="center" vertical="center" wrapText="1" readingOrder="1"/>
    </xf>
    <xf numFmtId="0" fontId="78" fillId="0" borderId="42" xfId="354" applyFont="1" applyBorder="1" applyAlignment="1">
      <alignment horizontal="center" vertical="center" wrapText="1" readingOrder="1"/>
    </xf>
    <xf numFmtId="0" fontId="78" fillId="0" borderId="82" xfId="354" applyFont="1" applyBorder="1" applyAlignment="1">
      <alignment horizontal="center" vertical="center" wrapText="1" readingOrder="1"/>
    </xf>
    <xf numFmtId="0" fontId="78" fillId="0" borderId="80" xfId="354" applyFont="1" applyBorder="1" applyAlignment="1">
      <alignment horizontal="center" vertical="center" wrapText="1" readingOrder="1"/>
    </xf>
    <xf numFmtId="0" fontId="78" fillId="0" borderId="37" xfId="354" applyFont="1" applyBorder="1" applyAlignment="1">
      <alignment horizontal="center" vertical="center" wrapText="1" readingOrder="1"/>
    </xf>
    <xf numFmtId="0" fontId="78" fillId="0" borderId="75" xfId="354" applyFont="1" applyBorder="1" applyAlignment="1">
      <alignment horizontal="center" vertical="center" wrapText="1" readingOrder="1"/>
    </xf>
    <xf numFmtId="0" fontId="78" fillId="0" borderId="81" xfId="354" applyFont="1" applyBorder="1" applyAlignment="1">
      <alignment horizontal="center" vertical="center" wrapText="1" readingOrder="1"/>
    </xf>
    <xf numFmtId="0" fontId="78" fillId="0" borderId="42" xfId="0" applyFont="1" applyBorder="1" applyAlignment="1">
      <alignment horizontal="center" vertical="center" wrapText="1" readingOrder="1"/>
    </xf>
    <xf numFmtId="0" fontId="78" fillId="0" borderId="82" xfId="0" applyFont="1" applyBorder="1" applyAlignment="1">
      <alignment horizontal="center" vertical="center" wrapText="1" readingOrder="1"/>
    </xf>
    <xf numFmtId="0" fontId="78" fillId="0" borderId="80" xfId="0" applyFont="1" applyBorder="1" applyAlignment="1">
      <alignment horizontal="center" vertical="center" wrapText="1" readingOrder="1"/>
    </xf>
    <xf numFmtId="0" fontId="78" fillId="0" borderId="37" xfId="0" applyFont="1" applyBorder="1" applyAlignment="1">
      <alignment horizontal="center" vertical="center" wrapText="1" readingOrder="1"/>
    </xf>
    <xf numFmtId="0" fontId="78" fillId="0" borderId="75" xfId="0" applyFont="1" applyBorder="1" applyAlignment="1">
      <alignment horizontal="center" vertical="center" wrapText="1" readingOrder="1"/>
    </xf>
    <xf numFmtId="0" fontId="78" fillId="0" borderId="81" xfId="0" applyFont="1" applyBorder="1" applyAlignment="1">
      <alignment horizontal="center" vertical="center" wrapText="1" readingOrder="1"/>
    </xf>
    <xf numFmtId="0" fontId="3" fillId="0" borderId="32" xfId="354" applyFont="1" applyFill="1" applyBorder="1" applyAlignment="1">
      <alignment horizontal="center" vertical="center" wrapText="1"/>
    </xf>
    <xf numFmtId="0" fontId="8" fillId="0" borderId="35" xfId="354" applyFont="1" applyFill="1" applyBorder="1" applyAlignment="1">
      <alignment horizontal="center" vertical="center" wrapText="1"/>
    </xf>
    <xf numFmtId="0" fontId="8" fillId="0" borderId="7" xfId="354" applyFont="1" applyFill="1" applyBorder="1" applyAlignment="1">
      <alignment horizontal="center" vertical="center" wrapText="1"/>
    </xf>
    <xf numFmtId="0" fontId="8" fillId="0" borderId="34" xfId="354" applyFont="1" applyFill="1" applyBorder="1" applyAlignment="1">
      <alignment horizontal="center" vertical="center" wrapText="1"/>
    </xf>
    <xf numFmtId="0" fontId="3" fillId="0" borderId="2" xfId="354" applyFont="1" applyFill="1" applyBorder="1" applyAlignment="1">
      <alignment horizontal="center" vertical="center" wrapText="1"/>
    </xf>
    <xf numFmtId="0" fontId="67" fillId="0" borderId="62" xfId="354" applyFont="1" applyFill="1" applyBorder="1" applyAlignment="1">
      <alignment horizontal="center" vertical="center" wrapText="1"/>
    </xf>
    <xf numFmtId="0" fontId="67" fillId="0" borderId="59" xfId="354" applyFont="1" applyFill="1" applyBorder="1" applyAlignment="1">
      <alignment horizontal="center" vertical="center" wrapText="1"/>
    </xf>
    <xf numFmtId="0" fontId="78" fillId="0" borderId="2" xfId="0" applyFont="1" applyFill="1" applyBorder="1" applyAlignment="1">
      <alignment vertical="center" wrapText="1" readingOrder="1"/>
    </xf>
    <xf numFmtId="0" fontId="2" fillId="0" borderId="38" xfId="354" applyFont="1" applyFill="1" applyBorder="1" applyAlignment="1">
      <alignment horizontal="center" vertical="center" wrapText="1"/>
    </xf>
    <xf numFmtId="0" fontId="2" fillId="0" borderId="36" xfId="354" applyFont="1" applyFill="1" applyBorder="1" applyAlignment="1">
      <alignment horizontal="center" vertical="center" wrapText="1"/>
    </xf>
    <xf numFmtId="0" fontId="78" fillId="0" borderId="2" xfId="0" applyFont="1" applyFill="1" applyBorder="1" applyAlignment="1">
      <alignment horizontal="center" vertical="center" wrapText="1" readingOrder="1"/>
    </xf>
    <xf numFmtId="0" fontId="41" fillId="0" borderId="2" xfId="354" applyFont="1" applyFill="1" applyBorder="1" applyAlignment="1">
      <alignment horizontal="center" vertical="center" wrapText="1" readingOrder="1"/>
    </xf>
    <xf numFmtId="0" fontId="41" fillId="0" borderId="2" xfId="354" applyFont="1" applyFill="1" applyBorder="1" applyAlignment="1">
      <alignment horizontal="center" vertical="center" readingOrder="1"/>
    </xf>
    <xf numFmtId="0" fontId="109" fillId="0" borderId="2" xfId="0" applyFont="1" applyFill="1" applyBorder="1" applyAlignment="1">
      <alignment horizontal="center" vertical="center" wrapText="1" readingOrder="1"/>
    </xf>
    <xf numFmtId="2" fontId="0" fillId="0" borderId="35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108" fillId="0" borderId="25" xfId="0" applyFont="1" applyFill="1" applyBorder="1" applyAlignment="1">
      <alignment horizontal="center" vertical="center" wrapText="1"/>
    </xf>
    <xf numFmtId="0" fontId="3" fillId="0" borderId="26" xfId="354" applyFont="1" applyFill="1" applyBorder="1" applyAlignment="1">
      <alignment horizontal="center" vertical="center"/>
    </xf>
    <xf numFmtId="0" fontId="100" fillId="0" borderId="88" xfId="0" applyFont="1" applyFill="1" applyBorder="1" applyAlignment="1">
      <alignment horizontal="center" vertical="center" wrapText="1"/>
    </xf>
    <xf numFmtId="0" fontId="100" fillId="0" borderId="7" xfId="0" applyFont="1" applyFill="1" applyBorder="1" applyAlignment="1">
      <alignment horizontal="center" vertical="center" wrapText="1"/>
    </xf>
    <xf numFmtId="0" fontId="100" fillId="0" borderId="34" xfId="0" applyFont="1" applyFill="1" applyBorder="1" applyAlignment="1">
      <alignment horizontal="center" vertical="center" wrapText="1"/>
    </xf>
    <xf numFmtId="0" fontId="5" fillId="0" borderId="26" xfId="354" applyFont="1" applyFill="1" applyBorder="1" applyAlignment="1">
      <alignment horizontal="center" vertical="center" wrapText="1"/>
    </xf>
    <xf numFmtId="0" fontId="5" fillId="0" borderId="2" xfId="354" applyFont="1" applyFill="1" applyBorder="1" applyAlignment="1">
      <alignment horizontal="center" vertical="center" wrapText="1"/>
    </xf>
    <xf numFmtId="0" fontId="5" fillId="0" borderId="2" xfId="354" applyFont="1" applyFill="1" applyBorder="1" applyAlignment="1">
      <alignment horizontal="right" vertical="center"/>
    </xf>
    <xf numFmtId="2" fontId="69" fillId="0" borderId="2" xfId="354" applyNumberFormat="1" applyFont="1" applyFill="1" applyBorder="1" applyAlignment="1">
      <alignment horizontal="center" vertical="center"/>
    </xf>
    <xf numFmtId="2" fontId="103" fillId="0" borderId="35" xfId="0" applyNumberFormat="1" applyFont="1" applyFill="1" applyBorder="1" applyAlignment="1">
      <alignment horizontal="center" vertical="center"/>
    </xf>
    <xf numFmtId="0" fontId="103" fillId="0" borderId="7" xfId="0" applyFont="1" applyFill="1" applyBorder="1" applyAlignment="1">
      <alignment horizontal="center" vertical="center"/>
    </xf>
    <xf numFmtId="0" fontId="103" fillId="0" borderId="34" xfId="0" applyFont="1" applyFill="1" applyBorder="1" applyAlignment="1">
      <alignment horizontal="center" vertical="center"/>
    </xf>
    <xf numFmtId="0" fontId="69" fillId="0" borderId="26" xfId="354" applyFont="1" applyFill="1" applyBorder="1" applyAlignment="1">
      <alignment horizontal="center" vertical="center" wrapText="1"/>
    </xf>
    <xf numFmtId="0" fontId="69" fillId="0" borderId="2" xfId="354" applyFont="1" applyFill="1" applyBorder="1" applyAlignment="1">
      <alignment horizontal="center" vertical="center" wrapText="1"/>
    </xf>
    <xf numFmtId="0" fontId="108" fillId="0" borderId="27" xfId="0" applyFont="1" applyBorder="1" applyAlignment="1">
      <alignment horizontal="center" vertical="center" wrapText="1"/>
    </xf>
    <xf numFmtId="0" fontId="108" fillId="0" borderId="58" xfId="0" applyFont="1" applyBorder="1" applyAlignment="1">
      <alignment horizontal="center" vertical="center" wrapText="1"/>
    </xf>
    <xf numFmtId="0" fontId="108" fillId="0" borderId="25" xfId="0" applyFont="1" applyBorder="1" applyAlignment="1">
      <alignment horizontal="center" vertical="center" wrapText="1"/>
    </xf>
    <xf numFmtId="0" fontId="74" fillId="0" borderId="42" xfId="354" applyFont="1" applyFill="1" applyBorder="1" applyAlignment="1">
      <alignment horizontal="center" vertical="center" wrapText="1"/>
    </xf>
    <xf numFmtId="0" fontId="74" fillId="0" borderId="82" xfId="354" applyFont="1" applyFill="1" applyBorder="1" applyAlignment="1">
      <alignment horizontal="center" vertical="center" wrapText="1"/>
    </xf>
    <xf numFmtId="0" fontId="74" fillId="0" borderId="80" xfId="354" applyFont="1" applyFill="1" applyBorder="1" applyAlignment="1">
      <alignment horizontal="center" vertical="center" wrapText="1"/>
    </xf>
    <xf numFmtId="0" fontId="74" fillId="0" borderId="91" xfId="354" applyFont="1" applyFill="1" applyBorder="1" applyAlignment="1">
      <alignment horizontal="center" vertical="center" wrapText="1"/>
    </xf>
    <xf numFmtId="0" fontId="74" fillId="0" borderId="0" xfId="354" applyFont="1" applyFill="1" applyBorder="1" applyAlignment="1">
      <alignment horizontal="center" vertical="center" wrapText="1"/>
    </xf>
    <xf numFmtId="0" fontId="74" fillId="0" borderId="65" xfId="354" applyFont="1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/>
    </xf>
    <xf numFmtId="0" fontId="78" fillId="0" borderId="76" xfId="0" applyFont="1" applyFill="1" applyBorder="1" applyAlignment="1">
      <alignment horizontal="center" vertical="center" wrapText="1" readingOrder="1"/>
    </xf>
    <xf numFmtId="0" fontId="73" fillId="0" borderId="2" xfId="354" applyFont="1" applyFill="1" applyBorder="1" applyAlignment="1">
      <alignment horizontal="center" vertical="center"/>
    </xf>
    <xf numFmtId="0" fontId="78" fillId="0" borderId="42" xfId="354" applyFont="1" applyFill="1" applyBorder="1" applyAlignment="1">
      <alignment horizontal="center" vertical="center" wrapText="1"/>
    </xf>
    <xf numFmtId="0" fontId="78" fillId="0" borderId="82" xfId="354" applyFont="1" applyFill="1" applyBorder="1" applyAlignment="1">
      <alignment horizontal="center" vertical="center" wrapText="1"/>
    </xf>
    <xf numFmtId="0" fontId="78" fillId="0" borderId="80" xfId="354" applyFont="1" applyFill="1" applyBorder="1" applyAlignment="1">
      <alignment horizontal="center" vertical="center" wrapText="1"/>
    </xf>
    <xf numFmtId="0" fontId="78" fillId="0" borderId="37" xfId="354" applyFont="1" applyFill="1" applyBorder="1" applyAlignment="1">
      <alignment horizontal="center" vertical="center" wrapText="1"/>
    </xf>
    <xf numFmtId="0" fontId="78" fillId="0" borderId="75" xfId="354" applyFont="1" applyFill="1" applyBorder="1" applyAlignment="1">
      <alignment horizontal="center" vertical="center" wrapText="1"/>
    </xf>
    <xf numFmtId="0" fontId="78" fillId="0" borderId="81" xfId="354" applyFont="1" applyFill="1" applyBorder="1" applyAlignment="1">
      <alignment horizontal="center" vertical="center" wrapText="1"/>
    </xf>
    <xf numFmtId="0" fontId="8" fillId="0" borderId="38" xfId="354" applyFont="1" applyFill="1" applyBorder="1" applyAlignment="1">
      <alignment horizontal="center" vertical="center" textRotation="90" wrapText="1"/>
    </xf>
    <xf numFmtId="0" fontId="8" fillId="0" borderId="76" xfId="354" applyFont="1" applyFill="1" applyBorder="1" applyAlignment="1">
      <alignment horizontal="center" vertical="center" textRotation="90" wrapText="1"/>
    </xf>
    <xf numFmtId="0" fontId="8" fillId="0" borderId="36" xfId="354" applyFont="1" applyFill="1" applyBorder="1" applyAlignment="1">
      <alignment horizontal="center" vertical="center" textRotation="90" wrapText="1"/>
    </xf>
    <xf numFmtId="0" fontId="75" fillId="0" borderId="2" xfId="0" applyFont="1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96" fillId="44" borderId="38" xfId="0" applyFont="1" applyFill="1" applyBorder="1" applyAlignment="1">
      <alignment horizontal="center" vertical="center"/>
    </xf>
    <xf numFmtId="0" fontId="96" fillId="44" borderId="36" xfId="0" applyFont="1" applyFill="1" applyBorder="1" applyAlignment="1">
      <alignment horizontal="center" vertical="center"/>
    </xf>
    <xf numFmtId="0" fontId="82" fillId="44" borderId="38" xfId="0" applyFont="1" applyFill="1" applyBorder="1" applyAlignment="1">
      <alignment horizontal="center" vertical="center" wrapText="1"/>
    </xf>
    <xf numFmtId="0" fontId="82" fillId="44" borderId="36" xfId="0" applyFont="1" applyFill="1" applyBorder="1" applyAlignment="1">
      <alignment horizontal="center" vertical="center" wrapText="1"/>
    </xf>
    <xf numFmtId="0" fontId="82" fillId="44" borderId="38" xfId="0" applyFont="1" applyFill="1" applyBorder="1" applyAlignment="1">
      <alignment horizontal="center" vertical="center"/>
    </xf>
    <xf numFmtId="0" fontId="82" fillId="44" borderId="36" xfId="0" applyFont="1" applyFill="1" applyBorder="1" applyAlignment="1">
      <alignment horizontal="center" vertical="center"/>
    </xf>
    <xf numFmtId="0" fontId="5" fillId="35" borderId="26" xfId="354" applyFont="1" applyFill="1" applyBorder="1" applyAlignment="1">
      <alignment horizontal="center" vertical="center" wrapText="1"/>
    </xf>
    <xf numFmtId="0" fontId="5" fillId="48" borderId="80" xfId="354" applyFont="1" applyFill="1" applyBorder="1" applyAlignment="1">
      <alignment horizontal="center" vertical="center" wrapText="1"/>
    </xf>
    <xf numFmtId="0" fontId="5" fillId="48" borderId="65" xfId="354" applyFont="1" applyFill="1" applyBorder="1" applyAlignment="1">
      <alignment horizontal="center" vertical="center" wrapText="1"/>
    </xf>
    <xf numFmtId="0" fontId="66" fillId="0" borderId="17" xfId="354" applyFont="1" applyBorder="1" applyAlignment="1">
      <alignment horizontal="center" vertical="center" wrapText="1"/>
    </xf>
    <xf numFmtId="0" fontId="66" fillId="0" borderId="0" xfId="354" applyFont="1" applyBorder="1" applyAlignment="1">
      <alignment horizontal="center" vertical="center" wrapText="1"/>
    </xf>
    <xf numFmtId="0" fontId="67" fillId="0" borderId="17" xfId="354" applyFont="1" applyBorder="1" applyAlignment="1">
      <alignment horizontal="center" vertical="center" wrapText="1"/>
    </xf>
    <xf numFmtId="0" fontId="67" fillId="0" borderId="0" xfId="354" applyFont="1" applyBorder="1" applyAlignment="1">
      <alignment horizontal="center" vertical="center" wrapText="1"/>
    </xf>
    <xf numFmtId="0" fontId="8" fillId="0" borderId="26" xfId="354" applyFont="1" applyBorder="1" applyAlignment="1">
      <alignment horizontal="center" vertical="center" wrapText="1"/>
    </xf>
    <xf numFmtId="0" fontId="8" fillId="0" borderId="2" xfId="354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2" fontId="0" fillId="0" borderId="82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4" fontId="0" fillId="0" borderId="35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4" fontId="0" fillId="0" borderId="35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75" fillId="0" borderId="35" xfId="0" applyNumberFormat="1" applyFont="1" applyBorder="1" applyAlignment="1">
      <alignment horizontal="center" vertical="center"/>
    </xf>
    <xf numFmtId="2" fontId="75" fillId="0" borderId="7" xfId="0" applyNumberFormat="1" applyFont="1" applyBorder="1" applyAlignment="1">
      <alignment horizontal="center" vertical="center"/>
    </xf>
    <xf numFmtId="2" fontId="75" fillId="0" borderId="34" xfId="0" applyNumberFormat="1" applyFont="1" applyBorder="1" applyAlignment="1">
      <alignment horizontal="center" vertical="center"/>
    </xf>
    <xf numFmtId="4" fontId="0" fillId="39" borderId="35" xfId="0" applyNumberFormat="1" applyFill="1" applyBorder="1" applyAlignment="1">
      <alignment horizontal="center" vertical="center"/>
    </xf>
    <xf numFmtId="4" fontId="0" fillId="39" borderId="7" xfId="0" applyNumberFormat="1" applyFill="1" applyBorder="1" applyAlignment="1">
      <alignment horizontal="center" vertical="center"/>
    </xf>
    <xf numFmtId="4" fontId="0" fillId="39" borderId="3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39" borderId="35" xfId="0" applyNumberFormat="1" applyFill="1" applyBorder="1" applyAlignment="1">
      <alignment horizontal="center" vertical="center"/>
    </xf>
    <xf numFmtId="0" fontId="0" fillId="39" borderId="7" xfId="0" applyFill="1" applyBorder="1" applyAlignment="1">
      <alignment horizontal="center" vertical="center"/>
    </xf>
    <xf numFmtId="0" fontId="0" fillId="39" borderId="34" xfId="0" applyFill="1" applyBorder="1" applyAlignment="1">
      <alignment horizontal="center" vertical="center"/>
    </xf>
    <xf numFmtId="2" fontId="0" fillId="39" borderId="7" xfId="0" applyNumberFormat="1" applyFill="1" applyBorder="1" applyAlignment="1">
      <alignment horizontal="center" vertical="center"/>
    </xf>
    <xf numFmtId="2" fontId="0" fillId="39" borderId="34" xfId="0" applyNumberForma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4" fontId="0" fillId="44" borderId="35" xfId="0" applyNumberFormat="1" applyFill="1" applyBorder="1" applyAlignment="1">
      <alignment horizontal="center" vertical="center"/>
    </xf>
    <xf numFmtId="4" fontId="0" fillId="44" borderId="7" xfId="0" applyNumberFormat="1" applyFill="1" applyBorder="1" applyAlignment="1">
      <alignment horizontal="center" vertical="center"/>
    </xf>
    <xf numFmtId="4" fontId="0" fillId="44" borderId="34" xfId="0" applyNumberFormat="1" applyFill="1" applyBorder="1" applyAlignment="1">
      <alignment horizontal="center" vertical="center"/>
    </xf>
    <xf numFmtId="0" fontId="76" fillId="0" borderId="7" xfId="0" applyFont="1" applyBorder="1" applyAlignment="1">
      <alignment horizontal="center" vertical="center"/>
    </xf>
    <xf numFmtId="0" fontId="76" fillId="0" borderId="34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 wrapText="1"/>
    </xf>
    <xf numFmtId="0" fontId="0" fillId="0" borderId="82" xfId="0" applyFont="1" applyBorder="1" applyAlignment="1">
      <alignment horizontal="center" vertical="center" wrapText="1"/>
    </xf>
    <xf numFmtId="0" fontId="0" fillId="0" borderId="80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7" fillId="0" borderId="35" xfId="0" applyFont="1" applyBorder="1" applyAlignment="1">
      <alignment horizontal="center" vertical="center"/>
    </xf>
    <xf numFmtId="0" fontId="77" fillId="0" borderId="7" xfId="0" applyFont="1" applyBorder="1" applyAlignment="1">
      <alignment horizontal="center" vertical="center"/>
    </xf>
    <xf numFmtId="0" fontId="77" fillId="0" borderId="34" xfId="0" applyFont="1" applyBorder="1" applyAlignment="1">
      <alignment horizontal="center" vertical="center"/>
    </xf>
    <xf numFmtId="2" fontId="75" fillId="0" borderId="92" xfId="0" applyNumberFormat="1" applyFont="1" applyBorder="1" applyAlignment="1">
      <alignment horizontal="center" vertical="center"/>
    </xf>
    <xf numFmtId="2" fontId="75" fillId="0" borderId="93" xfId="0" applyNumberFormat="1" applyFont="1" applyBorder="1" applyAlignment="1">
      <alignment horizontal="center" vertical="center"/>
    </xf>
    <xf numFmtId="0" fontId="100" fillId="0" borderId="83" xfId="0" applyFont="1" applyFill="1" applyBorder="1" applyAlignment="1">
      <alignment horizontal="center" vertical="center" wrapText="1"/>
    </xf>
    <xf numFmtId="0" fontId="100" fillId="0" borderId="64" xfId="0" applyFont="1" applyFill="1" applyBorder="1" applyAlignment="1">
      <alignment horizontal="center" vertical="center" wrapText="1"/>
    </xf>
    <xf numFmtId="0" fontId="100" fillId="0" borderId="6" xfId="0" applyFont="1" applyFill="1" applyBorder="1" applyAlignment="1">
      <alignment horizontal="center" vertical="center" wrapText="1"/>
    </xf>
    <xf numFmtId="0" fontId="100" fillId="0" borderId="85" xfId="0" applyFont="1" applyFill="1" applyBorder="1" applyAlignment="1">
      <alignment horizontal="center" vertical="center" wrapText="1"/>
    </xf>
    <xf numFmtId="0" fontId="77" fillId="36" borderId="69" xfId="0" applyFont="1" applyFill="1" applyBorder="1" applyAlignment="1">
      <alignment horizontal="center" vertical="center" wrapText="1"/>
    </xf>
    <xf numFmtId="0" fontId="77" fillId="36" borderId="43" xfId="0" applyFont="1" applyFill="1" applyBorder="1" applyAlignment="1">
      <alignment horizontal="center" vertical="center" wrapText="1"/>
    </xf>
    <xf numFmtId="0" fontId="75" fillId="36" borderId="69" xfId="0" applyFont="1" applyFill="1" applyBorder="1" applyAlignment="1">
      <alignment horizontal="center" vertical="center" wrapText="1"/>
    </xf>
    <xf numFmtId="0" fontId="75" fillId="36" borderId="43" xfId="0" applyFont="1" applyFill="1" applyBorder="1" applyAlignment="1">
      <alignment horizontal="center" vertical="center" wrapText="1"/>
    </xf>
    <xf numFmtId="0" fontId="75" fillId="36" borderId="94" xfId="0" applyFont="1" applyFill="1" applyBorder="1" applyAlignment="1">
      <alignment horizontal="center" vertical="center" wrapText="1"/>
    </xf>
    <xf numFmtId="0" fontId="75" fillId="36" borderId="95" xfId="0" applyFont="1" applyFill="1" applyBorder="1" applyAlignment="1">
      <alignment horizontal="center" vertical="center" wrapText="1"/>
    </xf>
    <xf numFmtId="0" fontId="100" fillId="0" borderId="17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60" xfId="0" applyFont="1" applyFill="1" applyBorder="1" applyAlignment="1">
      <alignment horizontal="center" vertical="center" wrapText="1"/>
    </xf>
    <xf numFmtId="0" fontId="100" fillId="0" borderId="61" xfId="0" applyFont="1" applyFill="1" applyBorder="1" applyAlignment="1">
      <alignment horizontal="center" vertical="center" wrapText="1"/>
    </xf>
    <xf numFmtId="0" fontId="106" fillId="47" borderId="45" xfId="0" applyFont="1" applyFill="1" applyBorder="1" applyAlignment="1">
      <alignment horizontal="left" vertical="center" wrapText="1"/>
    </xf>
    <xf numFmtId="0" fontId="76" fillId="40" borderId="45" xfId="0" applyFont="1" applyFill="1" applyBorder="1" applyAlignment="1">
      <alignment horizontal="center" vertical="center" wrapText="1"/>
    </xf>
    <xf numFmtId="0" fontId="77" fillId="40" borderId="45" xfId="0" applyFont="1" applyFill="1" applyBorder="1" applyAlignment="1">
      <alignment horizontal="left" vertical="center" wrapText="1"/>
    </xf>
    <xf numFmtId="16" fontId="93" fillId="37" borderId="45" xfId="0" applyNumberFormat="1" applyFont="1" applyFill="1" applyBorder="1" applyAlignment="1">
      <alignment horizontal="center" vertical="center" wrapText="1"/>
    </xf>
    <xf numFmtId="0" fontId="93" fillId="37" borderId="45" xfId="0" applyFont="1" applyFill="1" applyBorder="1" applyAlignment="1">
      <alignment horizontal="center" vertical="center" wrapText="1"/>
    </xf>
    <xf numFmtId="0" fontId="79" fillId="36" borderId="96" xfId="0" applyFont="1" applyFill="1" applyBorder="1" applyAlignment="1">
      <alignment horizontal="center" vertical="center" wrapText="1"/>
    </xf>
    <xf numFmtId="0" fontId="79" fillId="36" borderId="97" xfId="0" applyFont="1" applyFill="1" applyBorder="1" applyAlignment="1">
      <alignment horizontal="center" vertical="center" wrapText="1"/>
    </xf>
    <xf numFmtId="0" fontId="108" fillId="0" borderId="98" xfId="0" applyFont="1" applyBorder="1" applyAlignment="1">
      <alignment horizontal="center" vertical="center" wrapText="1"/>
    </xf>
    <xf numFmtId="0" fontId="108" fillId="0" borderId="99" xfId="0" applyFont="1" applyBorder="1" applyAlignment="1">
      <alignment horizontal="center" vertical="center" wrapText="1"/>
    </xf>
    <xf numFmtId="0" fontId="98" fillId="0" borderId="2" xfId="0" applyFont="1" applyBorder="1" applyAlignment="1">
      <alignment horizontal="center" vertical="center" wrapText="1" readingOrder="1"/>
    </xf>
    <xf numFmtId="4" fontId="76" fillId="0" borderId="2" xfId="0" applyNumberFormat="1" applyFont="1" applyBorder="1" applyAlignment="1">
      <alignment horizontal="center" vertical="center" readingOrder="1"/>
    </xf>
    <xf numFmtId="0" fontId="74" fillId="0" borderId="2" xfId="354" applyFont="1" applyBorder="1" applyAlignment="1">
      <alignment horizontal="center"/>
    </xf>
    <xf numFmtId="0" fontId="98" fillId="0" borderId="38" xfId="0" applyFont="1" applyBorder="1" applyAlignment="1">
      <alignment horizontal="center" vertical="center" wrapText="1" readingOrder="1"/>
    </xf>
    <xf numFmtId="0" fontId="98" fillId="0" borderId="36" xfId="0" applyFont="1" applyBorder="1" applyAlignment="1">
      <alignment horizontal="center" vertical="center" wrapText="1" readingOrder="1"/>
    </xf>
    <xf numFmtId="4" fontId="76" fillId="0" borderId="38" xfId="0" applyNumberFormat="1" applyFont="1" applyBorder="1" applyAlignment="1">
      <alignment horizontal="center" vertical="center" readingOrder="1"/>
    </xf>
    <xf numFmtId="4" fontId="76" fillId="0" borderId="36" xfId="0" applyNumberFormat="1" applyFont="1" applyBorder="1" applyAlignment="1">
      <alignment horizontal="center" vertical="center" readingOrder="1"/>
    </xf>
    <xf numFmtId="0" fontId="84" fillId="0" borderId="38" xfId="0" applyFont="1" applyFill="1" applyBorder="1" applyAlignment="1">
      <alignment horizontal="center" vertical="center" wrapText="1"/>
    </xf>
    <xf numFmtId="0" fontId="84" fillId="0" borderId="36" xfId="0" applyFont="1" applyFill="1" applyBorder="1" applyAlignment="1">
      <alignment horizontal="center" vertical="center" wrapText="1"/>
    </xf>
    <xf numFmtId="0" fontId="74" fillId="0" borderId="35" xfId="354" applyFont="1" applyBorder="1" applyAlignment="1">
      <alignment horizontal="center"/>
    </xf>
    <xf numFmtId="0" fontId="74" fillId="0" borderId="7" xfId="354" applyFont="1" applyBorder="1" applyAlignment="1">
      <alignment horizontal="center"/>
    </xf>
    <xf numFmtId="0" fontId="74" fillId="0" borderId="34" xfId="354" applyFont="1" applyBorder="1" applyAlignment="1">
      <alignment horizontal="center"/>
    </xf>
    <xf numFmtId="14" fontId="2" fillId="35" borderId="2" xfId="354" applyNumberFormat="1" applyFont="1" applyFill="1" applyBorder="1" applyAlignment="1">
      <alignment horizontal="center" vertical="center" wrapText="1"/>
    </xf>
    <xf numFmtId="14" fontId="2" fillId="35" borderId="38" xfId="354" applyNumberFormat="1" applyFont="1" applyFill="1" applyBorder="1" applyAlignment="1">
      <alignment horizontal="center" vertical="center" wrapText="1"/>
    </xf>
    <xf numFmtId="14" fontId="2" fillId="35" borderId="36" xfId="354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8" fillId="0" borderId="38" xfId="0" applyFont="1" applyBorder="1" applyAlignment="1">
      <alignment vertical="center" wrapText="1" readingOrder="1"/>
    </xf>
    <xf numFmtId="0" fontId="78" fillId="0" borderId="36" xfId="0" applyFont="1" applyBorder="1" applyAlignment="1">
      <alignment vertical="center" wrapText="1" readingOrder="1"/>
    </xf>
    <xf numFmtId="0" fontId="98" fillId="0" borderId="38" xfId="0" applyFont="1" applyBorder="1" applyAlignment="1">
      <alignment horizontal="center" vertical="center" readingOrder="1"/>
    </xf>
    <xf numFmtId="0" fontId="98" fillId="0" borderId="36" xfId="0" applyFont="1" applyBorder="1" applyAlignment="1">
      <alignment horizontal="center" vertical="center" readingOrder="1"/>
    </xf>
    <xf numFmtId="0" fontId="10" fillId="35" borderId="2" xfId="354" applyFont="1" applyFill="1" applyBorder="1" applyAlignment="1">
      <alignment horizontal="center" vertical="center" wrapText="1"/>
    </xf>
    <xf numFmtId="0" fontId="2" fillId="35" borderId="36" xfId="354" applyFont="1" applyFill="1" applyBorder="1" applyAlignment="1">
      <alignment horizontal="center" vertical="center" wrapText="1"/>
    </xf>
    <xf numFmtId="0" fontId="64" fillId="0" borderId="38" xfId="354" applyFont="1" applyBorder="1" applyAlignment="1">
      <alignment horizontal="center" vertical="center" wrapText="1" readingOrder="1"/>
    </xf>
    <xf numFmtId="0" fontId="64" fillId="0" borderId="36" xfId="354" applyFont="1" applyBorder="1" applyAlignment="1">
      <alignment horizontal="center" vertical="center" wrapText="1" readingOrder="1"/>
    </xf>
    <xf numFmtId="0" fontId="98" fillId="0" borderId="2" xfId="0" applyFont="1" applyBorder="1" applyAlignment="1">
      <alignment horizontal="center" vertical="center" readingOrder="1"/>
    </xf>
    <xf numFmtId="0" fontId="3" fillId="0" borderId="0" xfId="354" applyFont="1" applyBorder="1" applyAlignment="1">
      <alignment horizontal="center"/>
    </xf>
    <xf numFmtId="0" fontId="74" fillId="0" borderId="0" xfId="354" applyFont="1" applyBorder="1" applyAlignment="1">
      <alignment horizontal="center"/>
    </xf>
    <xf numFmtId="0" fontId="41" fillId="0" borderId="38" xfId="354" applyFont="1" applyFill="1" applyBorder="1" applyAlignment="1">
      <alignment horizontal="center" vertical="center" wrapText="1" readingOrder="1"/>
    </xf>
    <xf numFmtId="0" fontId="41" fillId="0" borderId="36" xfId="354" applyFont="1" applyFill="1" applyBorder="1" applyAlignment="1">
      <alignment horizontal="center" vertical="center" wrapText="1" readingOrder="1"/>
    </xf>
    <xf numFmtId="0" fontId="41" fillId="0" borderId="38" xfId="354" applyFont="1" applyFill="1" applyBorder="1" applyAlignment="1">
      <alignment horizontal="center" vertical="center" readingOrder="1"/>
    </xf>
    <xf numFmtId="0" fontId="41" fillId="0" borderId="36" xfId="354" applyFont="1" applyFill="1" applyBorder="1" applyAlignment="1">
      <alignment horizontal="center" vertical="center" readingOrder="1"/>
    </xf>
    <xf numFmtId="14" fontId="2" fillId="0" borderId="38" xfId="354" applyNumberFormat="1" applyFont="1" applyFill="1" applyBorder="1" applyAlignment="1">
      <alignment horizontal="center" vertical="center" wrapText="1"/>
    </xf>
    <xf numFmtId="0" fontId="41" fillId="0" borderId="38" xfId="354" applyFont="1" applyBorder="1" applyAlignment="1">
      <alignment horizontal="center" vertical="center" wrapText="1" readingOrder="1"/>
    </xf>
    <xf numFmtId="0" fontId="41" fillId="0" borderId="36" xfId="354" applyFont="1" applyBorder="1" applyAlignment="1">
      <alignment horizontal="center" vertical="center" wrapText="1" readingOrder="1"/>
    </xf>
    <xf numFmtId="0" fontId="41" fillId="0" borderId="38" xfId="354" applyFont="1" applyBorder="1" applyAlignment="1">
      <alignment horizontal="center" vertical="center" readingOrder="1"/>
    </xf>
    <xf numFmtId="0" fontId="41" fillId="0" borderId="36" xfId="354" applyFont="1" applyBorder="1" applyAlignment="1">
      <alignment horizontal="center" vertical="center" readingOrder="1"/>
    </xf>
    <xf numFmtId="0" fontId="107" fillId="0" borderId="107" xfId="0" applyFont="1" applyFill="1" applyBorder="1" applyAlignment="1">
      <alignment horizontal="center" vertical="center" wrapText="1" readingOrder="1"/>
    </xf>
    <xf numFmtId="0" fontId="107" fillId="0" borderId="76" xfId="0" applyFont="1" applyFill="1" applyBorder="1" applyAlignment="1">
      <alignment horizontal="center" vertical="center" wrapText="1" readingOrder="1"/>
    </xf>
    <xf numFmtId="0" fontId="10" fillId="0" borderId="38" xfId="354" applyFont="1" applyFill="1" applyBorder="1" applyAlignment="1">
      <alignment horizontal="center" vertical="center" wrapText="1"/>
    </xf>
    <xf numFmtId="0" fontId="10" fillId="0" borderId="36" xfId="354" applyFont="1" applyFill="1" applyBorder="1" applyAlignment="1">
      <alignment horizontal="center" vertical="center" wrapText="1"/>
    </xf>
    <xf numFmtId="0" fontId="107" fillId="0" borderId="108" xfId="0" applyFont="1" applyFill="1" applyBorder="1" applyAlignment="1">
      <alignment horizontal="center" vertical="center" wrapText="1" readingOrder="1"/>
    </xf>
    <xf numFmtId="0" fontId="109" fillId="0" borderId="2" xfId="0" applyFont="1" applyBorder="1" applyAlignment="1">
      <alignment horizontal="center" vertical="center" wrapText="1" readingOrder="1"/>
    </xf>
    <xf numFmtId="0" fontId="107" fillId="0" borderId="107" xfId="0" applyFont="1" applyBorder="1" applyAlignment="1">
      <alignment horizontal="center" vertical="center" wrapText="1" readingOrder="1"/>
    </xf>
    <xf numFmtId="0" fontId="107" fillId="0" borderId="108" xfId="0" applyFont="1" applyBorder="1" applyAlignment="1">
      <alignment horizontal="center" vertical="center" wrapText="1" readingOrder="1"/>
    </xf>
    <xf numFmtId="0" fontId="3" fillId="35" borderId="2" xfId="354" applyFont="1" applyFill="1" applyBorder="1" applyAlignment="1">
      <alignment horizontal="center" vertical="center" textRotation="90" wrapText="1"/>
    </xf>
    <xf numFmtId="0" fontId="10" fillId="35" borderId="38" xfId="354" applyFont="1" applyFill="1" applyBorder="1" applyAlignment="1">
      <alignment horizontal="center" vertical="center" wrapText="1"/>
    </xf>
    <xf numFmtId="0" fontId="10" fillId="35" borderId="36" xfId="354" applyFont="1" applyFill="1" applyBorder="1" applyAlignment="1">
      <alignment horizontal="center" vertical="center" wrapText="1"/>
    </xf>
    <xf numFmtId="0" fontId="10" fillId="35" borderId="42" xfId="354" applyFont="1" applyFill="1" applyBorder="1" applyAlignment="1">
      <alignment horizontal="center" vertical="center" wrapText="1"/>
    </xf>
    <xf numFmtId="0" fontId="10" fillId="35" borderId="82" xfId="354" applyFont="1" applyFill="1" applyBorder="1" applyAlignment="1">
      <alignment horizontal="center" vertical="center" wrapText="1"/>
    </xf>
    <xf numFmtId="0" fontId="10" fillId="35" borderId="80" xfId="354" applyFont="1" applyFill="1" applyBorder="1" applyAlignment="1">
      <alignment horizontal="center" vertical="center" wrapText="1"/>
    </xf>
    <xf numFmtId="0" fontId="10" fillId="35" borderId="100" xfId="354" applyFont="1" applyFill="1" applyBorder="1" applyAlignment="1">
      <alignment horizontal="center" vertical="center" wrapText="1"/>
    </xf>
    <xf numFmtId="0" fontId="10" fillId="35" borderId="60" xfId="354" applyFont="1" applyFill="1" applyBorder="1" applyAlignment="1">
      <alignment horizontal="center" vertical="center" wrapText="1"/>
    </xf>
    <xf numFmtId="0" fontId="10" fillId="35" borderId="101" xfId="354" applyFont="1" applyFill="1" applyBorder="1" applyAlignment="1">
      <alignment horizontal="center" vertical="center" wrapText="1"/>
    </xf>
    <xf numFmtId="0" fontId="69" fillId="0" borderId="83" xfId="354" applyFont="1" applyBorder="1" applyAlignment="1">
      <alignment horizontal="center" vertical="center" wrapText="1"/>
    </xf>
    <xf numFmtId="0" fontId="69" fillId="0" borderId="64" xfId="354" applyFont="1" applyBorder="1" applyAlignment="1">
      <alignment horizontal="center" vertical="center" wrapText="1"/>
    </xf>
    <xf numFmtId="0" fontId="69" fillId="0" borderId="46" xfId="354" applyFont="1" applyBorder="1" applyAlignment="1">
      <alignment horizontal="center" vertical="center" wrapText="1"/>
    </xf>
    <xf numFmtId="0" fontId="74" fillId="0" borderId="59" xfId="354" applyFont="1" applyBorder="1" applyAlignment="1">
      <alignment horizontal="center"/>
    </xf>
    <xf numFmtId="0" fontId="107" fillId="0" borderId="38" xfId="0" applyFont="1" applyBorder="1" applyAlignment="1">
      <alignment horizontal="center" vertical="center" wrapText="1" readingOrder="1"/>
    </xf>
    <xf numFmtId="0" fontId="107" fillId="0" borderId="36" xfId="0" applyFont="1" applyBorder="1" applyAlignment="1">
      <alignment horizontal="center" vertical="center" wrapText="1" readingOrder="1"/>
    </xf>
    <xf numFmtId="1" fontId="74" fillId="0" borderId="42" xfId="354" applyNumberFormat="1" applyFont="1" applyBorder="1" applyAlignment="1">
      <alignment horizontal="center" vertical="center"/>
    </xf>
    <xf numFmtId="1" fontId="74" fillId="0" borderId="82" xfId="354" applyNumberFormat="1" applyFont="1" applyBorder="1" applyAlignment="1">
      <alignment horizontal="center" vertical="center"/>
    </xf>
    <xf numFmtId="1" fontId="74" fillId="0" borderId="80" xfId="354" applyNumberFormat="1" applyFont="1" applyBorder="1" applyAlignment="1">
      <alignment horizontal="center" vertical="center"/>
    </xf>
    <xf numFmtId="1" fontId="74" fillId="0" borderId="37" xfId="354" applyNumberFormat="1" applyFont="1" applyBorder="1" applyAlignment="1">
      <alignment horizontal="center" vertical="center"/>
    </xf>
    <xf numFmtId="1" fontId="74" fillId="0" borderId="75" xfId="354" applyNumberFormat="1" applyFont="1" applyBorder="1" applyAlignment="1">
      <alignment horizontal="center" vertical="center"/>
    </xf>
    <xf numFmtId="1" fontId="74" fillId="0" borderId="81" xfId="354" applyNumberFormat="1" applyFont="1" applyBorder="1" applyAlignment="1">
      <alignment horizontal="center" vertical="center"/>
    </xf>
    <xf numFmtId="0" fontId="3" fillId="35" borderId="38" xfId="354" applyFont="1" applyFill="1" applyBorder="1" applyAlignment="1">
      <alignment horizontal="center" vertical="center" textRotation="90" wrapText="1"/>
    </xf>
    <xf numFmtId="0" fontId="3" fillId="35" borderId="36" xfId="354" applyFont="1" applyFill="1" applyBorder="1" applyAlignment="1">
      <alignment horizontal="center" vertical="center" textRotation="90" wrapText="1"/>
    </xf>
    <xf numFmtId="0" fontId="107" fillId="0" borderId="82" xfId="0" applyFont="1" applyBorder="1" applyAlignment="1">
      <alignment horizontal="center" vertical="center" wrapText="1" readingOrder="1"/>
    </xf>
    <xf numFmtId="0" fontId="107" fillId="0" borderId="75" xfId="0" applyFont="1" applyBorder="1" applyAlignment="1">
      <alignment horizontal="center" vertical="center" wrapText="1" readingOrder="1"/>
    </xf>
    <xf numFmtId="0" fontId="69" fillId="0" borderId="102" xfId="354" applyFont="1" applyBorder="1" applyAlignment="1">
      <alignment horizontal="center" vertical="center" wrapText="1"/>
    </xf>
    <xf numFmtId="0" fontId="69" fillId="0" borderId="89" xfId="354" applyFont="1" applyBorder="1" applyAlignment="1">
      <alignment horizontal="center" vertical="center" wrapText="1"/>
    </xf>
    <xf numFmtId="0" fontId="69" fillId="0" borderId="103" xfId="354" applyFont="1" applyBorder="1" applyAlignment="1">
      <alignment horizontal="center" vertical="center" wrapText="1"/>
    </xf>
    <xf numFmtId="0" fontId="100" fillId="0" borderId="27" xfId="0" applyFont="1" applyBorder="1" applyAlignment="1">
      <alignment horizontal="center" vertical="center" wrapText="1"/>
    </xf>
    <xf numFmtId="0" fontId="100" fillId="0" borderId="58" xfId="0" applyFont="1" applyBorder="1" applyAlignment="1">
      <alignment horizontal="center" vertical="center" wrapText="1"/>
    </xf>
    <xf numFmtId="0" fontId="3" fillId="0" borderId="38" xfId="354" applyFont="1" applyBorder="1" applyAlignment="1">
      <alignment horizontal="center" vertical="center"/>
    </xf>
    <xf numFmtId="0" fontId="3" fillId="0" borderId="36" xfId="354" applyFont="1" applyBorder="1" applyAlignment="1">
      <alignment horizontal="center" vertical="center"/>
    </xf>
    <xf numFmtId="0" fontId="3" fillId="0" borderId="2" xfId="354" applyFont="1" applyBorder="1" applyAlignment="1">
      <alignment horizontal="center" vertical="center"/>
    </xf>
    <xf numFmtId="0" fontId="71" fillId="0" borderId="38" xfId="354" applyFont="1" applyBorder="1" applyAlignment="1">
      <alignment horizontal="center" vertical="center" wrapText="1"/>
    </xf>
    <xf numFmtId="0" fontId="71" fillId="0" borderId="36" xfId="354" applyFont="1" applyBorder="1" applyAlignment="1">
      <alignment horizontal="center" vertical="center" wrapText="1"/>
    </xf>
    <xf numFmtId="0" fontId="8" fillId="35" borderId="27" xfId="354" applyFont="1" applyFill="1" applyBorder="1" applyAlignment="1">
      <alignment horizontal="center" vertical="center" wrapText="1"/>
    </xf>
    <xf numFmtId="0" fontId="8" fillId="35" borderId="58" xfId="354" applyFont="1" applyFill="1" applyBorder="1" applyAlignment="1">
      <alignment horizontal="center" vertical="center" wrapText="1"/>
    </xf>
    <xf numFmtId="0" fontId="69" fillId="0" borderId="66" xfId="354" applyFont="1" applyBorder="1" applyAlignment="1">
      <alignment horizontal="center" vertical="center" wrapText="1"/>
    </xf>
    <xf numFmtId="0" fontId="70" fillId="0" borderId="88" xfId="354" applyFont="1" applyBorder="1" applyAlignment="1">
      <alignment horizontal="center" vertical="center" wrapText="1"/>
    </xf>
    <xf numFmtId="0" fontId="70" fillId="0" borderId="7" xfId="354" applyFont="1" applyBorder="1" applyAlignment="1">
      <alignment horizontal="center" vertical="center" wrapText="1"/>
    </xf>
    <xf numFmtId="0" fontId="70" fillId="0" borderId="34" xfId="354" applyFont="1" applyBorder="1" applyAlignment="1">
      <alignment horizontal="center" vertical="center" wrapText="1"/>
    </xf>
    <xf numFmtId="0" fontId="70" fillId="0" borderId="2" xfId="354" applyFont="1" applyBorder="1" applyAlignment="1">
      <alignment horizontal="right" vertical="center"/>
    </xf>
    <xf numFmtId="0" fontId="71" fillId="0" borderId="104" xfId="354" applyFont="1" applyBorder="1" applyAlignment="1">
      <alignment horizontal="center" vertical="center" wrapText="1"/>
    </xf>
    <xf numFmtId="0" fontId="71" fillId="0" borderId="57" xfId="354" applyFont="1" applyBorder="1" applyAlignment="1">
      <alignment horizontal="center" vertical="center" wrapText="1"/>
    </xf>
    <xf numFmtId="0" fontId="71" fillId="0" borderId="27" xfId="354" applyFont="1" applyBorder="1" applyAlignment="1">
      <alignment horizontal="center" vertical="center"/>
    </xf>
    <xf numFmtId="0" fontId="71" fillId="0" borderId="25" xfId="354" applyFont="1" applyBorder="1" applyAlignment="1">
      <alignment horizontal="center" vertical="center"/>
    </xf>
    <xf numFmtId="0" fontId="71" fillId="0" borderId="2" xfId="354" applyFont="1" applyBorder="1" applyAlignment="1">
      <alignment horizontal="center" vertical="center" wrapText="1"/>
    </xf>
    <xf numFmtId="0" fontId="71" fillId="0" borderId="42" xfId="354" applyFont="1" applyBorder="1" applyAlignment="1">
      <alignment horizontal="center" vertical="center" wrapText="1"/>
    </xf>
    <xf numFmtId="0" fontId="71" fillId="0" borderId="37" xfId="354" applyFont="1" applyBorder="1" applyAlignment="1">
      <alignment horizontal="center" vertical="center" wrapText="1"/>
    </xf>
    <xf numFmtId="0" fontId="75" fillId="36" borderId="94" xfId="0" applyFont="1" applyFill="1" applyBorder="1" applyAlignment="1">
      <alignment horizontal="left" vertical="center" wrapText="1"/>
    </xf>
    <xf numFmtId="0" fontId="75" fillId="36" borderId="95" xfId="0" applyFont="1" applyFill="1" applyBorder="1" applyAlignment="1">
      <alignment horizontal="left" vertical="center" wrapText="1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106" fillId="47" borderId="0" xfId="0" applyFont="1" applyFill="1" applyBorder="1" applyAlignment="1">
      <alignment horizontal="left" vertical="center"/>
    </xf>
    <xf numFmtId="0" fontId="76" fillId="40" borderId="45" xfId="0" applyFont="1" applyFill="1" applyBorder="1" applyAlignment="1">
      <alignment horizontal="center" vertical="center"/>
    </xf>
    <xf numFmtId="0" fontId="77" fillId="40" borderId="45" xfId="0" applyFont="1" applyFill="1" applyBorder="1" applyAlignment="1">
      <alignment horizontal="left" vertical="center"/>
    </xf>
    <xf numFmtId="0" fontId="77" fillId="36" borderId="69" xfId="0" applyFont="1" applyFill="1" applyBorder="1" applyAlignment="1">
      <alignment horizontal="left" vertical="center" wrapText="1"/>
    </xf>
    <xf numFmtId="0" fontId="77" fillId="36" borderId="43" xfId="0" applyFont="1" applyFill="1" applyBorder="1" applyAlignment="1">
      <alignment horizontal="left" vertical="center" wrapText="1"/>
    </xf>
    <xf numFmtId="0" fontId="75" fillId="36" borderId="69" xfId="0" applyFont="1" applyFill="1" applyBorder="1" applyAlignment="1">
      <alignment horizontal="center" vertical="center"/>
    </xf>
    <xf numFmtId="0" fontId="75" fillId="36" borderId="69" xfId="0" applyFont="1" applyFill="1" applyBorder="1" applyAlignment="1">
      <alignment horizontal="left" vertical="center" wrapText="1"/>
    </xf>
    <xf numFmtId="0" fontId="75" fillId="36" borderId="43" xfId="0" applyFont="1" applyFill="1" applyBorder="1" applyAlignment="1">
      <alignment horizontal="left" vertical="center" wrapText="1"/>
    </xf>
    <xf numFmtId="0" fontId="75" fillId="0" borderId="84" xfId="0" applyFont="1" applyFill="1" applyBorder="1" applyAlignment="1">
      <alignment horizontal="center" vertical="center"/>
    </xf>
    <xf numFmtId="0" fontId="75" fillId="0" borderId="6" xfId="0" applyFont="1" applyFill="1" applyBorder="1" applyAlignment="1">
      <alignment horizontal="center" vertical="center"/>
    </xf>
    <xf numFmtId="0" fontId="75" fillId="0" borderId="85" xfId="0" applyFont="1" applyFill="1" applyBorder="1" applyAlignment="1">
      <alignment horizontal="center" vertical="center"/>
    </xf>
    <xf numFmtId="0" fontId="75" fillId="36" borderId="20" xfId="0" applyFont="1" applyFill="1" applyBorder="1" applyAlignment="1">
      <alignment horizontal="center" vertical="center" wrapText="1"/>
    </xf>
    <xf numFmtId="0" fontId="0" fillId="44" borderId="19" xfId="0" applyFill="1" applyBorder="1" applyAlignment="1">
      <alignment horizontal="center" vertical="center"/>
    </xf>
    <xf numFmtId="0" fontId="0" fillId="44" borderId="15" xfId="0" applyFill="1" applyBorder="1" applyAlignment="1">
      <alignment horizontal="center" vertical="center"/>
    </xf>
    <xf numFmtId="0" fontId="0" fillId="44" borderId="16" xfId="0" applyFill="1" applyBorder="1" applyAlignment="1">
      <alignment horizontal="center" vertical="center"/>
    </xf>
    <xf numFmtId="0" fontId="75" fillId="47" borderId="20" xfId="0" applyFont="1" applyFill="1" applyBorder="1" applyAlignment="1">
      <alignment horizontal="center" vertical="center"/>
    </xf>
    <xf numFmtId="0" fontId="75" fillId="40" borderId="20" xfId="0" applyFont="1" applyFill="1" applyBorder="1" applyAlignment="1">
      <alignment horizontal="center" vertical="center"/>
    </xf>
    <xf numFmtId="16" fontId="110" fillId="37" borderId="20" xfId="0" applyNumberFormat="1" applyFont="1" applyFill="1" applyBorder="1" applyAlignment="1">
      <alignment horizontal="center" vertical="center" wrapText="1"/>
    </xf>
    <xf numFmtId="0" fontId="110" fillId="37" borderId="20" xfId="0" applyFont="1" applyFill="1" applyBorder="1" applyAlignment="1">
      <alignment horizontal="center" vertical="center" wrapText="1"/>
    </xf>
    <xf numFmtId="0" fontId="75" fillId="36" borderId="20" xfId="0" applyFont="1" applyFill="1" applyBorder="1" applyAlignment="1">
      <alignment horizontal="center" vertical="center"/>
    </xf>
    <xf numFmtId="0" fontId="77" fillId="0" borderId="62" xfId="0" applyFont="1" applyBorder="1" applyAlignment="1">
      <alignment horizontal="center" vertical="center"/>
    </xf>
    <xf numFmtId="0" fontId="77" fillId="0" borderId="59" xfId="0" applyFont="1" applyBorder="1" applyAlignment="1">
      <alignment horizontal="center" vertical="center"/>
    </xf>
    <xf numFmtId="0" fontId="77" fillId="0" borderId="63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2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</cellXfs>
  <cellStyles count="540">
    <cellStyle name="&#10;shell=progma" xfId="1"/>
    <cellStyle name="#3er-Gruppen" xfId="2"/>
    <cellStyle name="#Rotax-Nummer" xfId="3"/>
    <cellStyle name="_Book1" xfId="4"/>
    <cellStyle name="_Book1_Prod. Plan Jan'12" xfId="5"/>
    <cellStyle name="_Book2 (2)" xfId="6"/>
    <cellStyle name="_Book5" xfId="7"/>
    <cellStyle name="_Book5 2" xfId="8"/>
    <cellStyle name="_Book5 3" xfId="9"/>
    <cellStyle name="_Book5 4" xfId="10"/>
    <cellStyle name="_Book5 5" xfId="11"/>
    <cellStyle name="_Book5 6" xfId="12"/>
    <cellStyle name="_Book5 7" xfId="13"/>
    <cellStyle name="_Book5_AB OK BASE MODEL JUN '11" xfId="14"/>
    <cellStyle name="_Book5_Aug'11 Stock SKH1 &amp; 3" xfId="15"/>
    <cellStyle name="_Book5_Capex HPS June'11" xfId="16"/>
    <cellStyle name="_Book5_Data Press Shop (2)" xfId="17"/>
    <cellStyle name="_Book5_MUL Sch &amp; SKH2 Capacity" xfId="18"/>
    <cellStyle name="_Book5_MUL Sch &amp; SKH2 Capacity 2011-12" xfId="19"/>
    <cellStyle name="_Book5_Net Wt &amp; Scrap Values" xfId="20"/>
    <cellStyle name="_Book5_Oct 11" xfId="21"/>
    <cellStyle name="_Book5_Plan for Sept Mktg 18.08.11" xfId="22"/>
    <cellStyle name="_Book5_Q1" xfId="23"/>
    <cellStyle name="_Book5_Ramp up PE Proposal_2011-12_30nov10_op1" xfId="24"/>
    <cellStyle name="_Book5_Revised 1275" xfId="25"/>
    <cellStyle name="_Book5_Revised Production Plan Jun'11" xfId="26"/>
    <cellStyle name="_Book5_SALES PLAN 2011-12" xfId="27"/>
    <cellStyle name="_Book5_Varaint Wise Indent for Mar'11" xfId="28"/>
    <cellStyle name="_Budget press shop Plant2 17-02-2010" xfId="29"/>
    <cellStyle name="_BUDGET-SKH01-2010-11 PV rev4" xfId="30"/>
    <cellStyle name="_BUDGET-SKH03-2010-11 Rev 2" xfId="31"/>
    <cellStyle name="_Column1" xfId="32"/>
    <cellStyle name="_Column2" xfId="33"/>
    <cellStyle name="_Column3" xfId="34"/>
    <cellStyle name="_Column4" xfId="35"/>
    <cellStyle name="_Column5" xfId="36"/>
    <cellStyle name="_Column6" xfId="37"/>
    <cellStyle name="_Column7" xfId="38"/>
    <cellStyle name="_Cost Saving 21.02" xfId="39"/>
    <cellStyle name="_Cost Saving New" xfId="40"/>
    <cellStyle name="_Cost Saving -Skh2-30.11.10" xfId="41"/>
    <cellStyle name="_Data" xfId="42"/>
    <cellStyle name="_Data Press Shop (2)" xfId="43"/>
    <cellStyle name="_exp0708_13feb" xfId="44"/>
    <cellStyle name="_exp0708_13feb 2" xfId="45"/>
    <cellStyle name="_exp0708_13feb 3" xfId="46"/>
    <cellStyle name="_exp0708_13feb 4" xfId="47"/>
    <cellStyle name="_exp0708_13feb 5" xfId="48"/>
    <cellStyle name="_exp0708_13feb 6" xfId="49"/>
    <cellStyle name="_exp0708_13feb 7" xfId="50"/>
    <cellStyle name="_exp0708_13feb_AB OK BASE MODEL JUN '11" xfId="51"/>
    <cellStyle name="_exp0708_13feb_Aug'11 Stock SKH1 &amp; 3" xfId="52"/>
    <cellStyle name="_exp0708_13feb_Capex HPS June'11" xfId="53"/>
    <cellStyle name="_exp0708_13feb_Data Press Shop (2)" xfId="54"/>
    <cellStyle name="_exp0708_13feb_MUL Sch &amp; SKH2 Capacity" xfId="55"/>
    <cellStyle name="_exp0708_13feb_MUL Sch &amp; SKH2 Capacity 2011-12" xfId="56"/>
    <cellStyle name="_exp0708_13feb_Net Wt &amp; Scrap Values" xfId="57"/>
    <cellStyle name="_exp0708_13feb_Oct 11" xfId="58"/>
    <cellStyle name="_exp0708_13feb_Plan for Sept Mktg 18.08.11" xfId="59"/>
    <cellStyle name="_exp0708_13feb_Q1" xfId="60"/>
    <cellStyle name="_exp0708_13feb_Ramp up PE Proposal_2011-12_30nov10_op1" xfId="61"/>
    <cellStyle name="_exp0708_13feb_Revised 1275" xfId="62"/>
    <cellStyle name="_exp0708_13feb_Revised Production Plan Jun'11" xfId="63"/>
    <cellStyle name="_exp0708_13feb_SALES PLAN 2011-12" xfId="64"/>
    <cellStyle name="_exp0708_13feb_Varaint Wise Indent for Mar'11" xfId="65"/>
    <cellStyle name="_export volumes 2009-13" xfId="66"/>
    <cellStyle name="_export volumes 2009-13_Final Volume Projections 20090514" xfId="67"/>
    <cellStyle name="_export volumes 2009-13_Final Volume Projections 20090606" xfId="68"/>
    <cellStyle name="_export volumes 2009-13_Final Volume Projections 20090618" xfId="69"/>
    <cellStyle name="_F         06-07" xfId="70"/>
    <cellStyle name="_Final Sales Budget2010-11(SKH)-H2 Price Rev3" xfId="71"/>
    <cellStyle name="_Grind" xfId="72"/>
    <cellStyle name="_Header" xfId="73"/>
    <cellStyle name="_Main Sheet" xfId="74"/>
    <cellStyle name="_MSIL11-12" xfId="75"/>
    <cellStyle name="_MSILvolume2011-12" xfId="76"/>
    <cellStyle name="_Press Capacity peak-30-07-10" xfId="77"/>
    <cellStyle name="_Prod. Plan Jan'12" xfId="78"/>
    <cellStyle name="_Proposal Yield Improvement" xfId="79"/>
    <cellStyle name="_Row1" xfId="80"/>
    <cellStyle name="_Row2" xfId="81"/>
    <cellStyle name="_Row3" xfId="82"/>
    <cellStyle name="_Row4" xfId="83"/>
    <cellStyle name="_Row5" xfId="84"/>
    <cellStyle name="_Row6" xfId="85"/>
    <cellStyle name="_Row7" xfId="86"/>
    <cellStyle name="_Sales Plan as per Asp" xfId="87"/>
    <cellStyle name="_Sales Plan as per Asp_Final Volume Projections 20090514" xfId="88"/>
    <cellStyle name="_Sales Plan as per Asp_Final Volume Projections 20090606" xfId="89"/>
    <cellStyle name="_Sales Plan as per Asp_Final Volume Projections 20090618" xfId="90"/>
    <cellStyle name="_SalesQuery_06-11-08" xfId="91"/>
    <cellStyle name="_SalesQuery_06-11-08_Final Volume Projections 20090514" xfId="92"/>
    <cellStyle name="_SalesQuery_06-11-08_Final Volume Projections 20090606" xfId="93"/>
    <cellStyle name="_SalesQuery_06-11-08_Final Volume Projections 20090618" xfId="94"/>
    <cellStyle name="_Sheet1" xfId="95"/>
    <cellStyle name="_Yield " xfId="96"/>
    <cellStyle name="_Yield New" xfId="97"/>
    <cellStyle name="20% - Accent1 2" xfId="98"/>
    <cellStyle name="20% - Accent1 2 2" xfId="99"/>
    <cellStyle name="20% - Accent1 2 3" xfId="100"/>
    <cellStyle name="20% - Accent1 2 4" xfId="101"/>
    <cellStyle name="20% - Accent1 2 5" xfId="102"/>
    <cellStyle name="20% - Accent1 2 6" xfId="103"/>
    <cellStyle name="20% - Accent1 2 7" xfId="104"/>
    <cellStyle name="20% - Accent1 2_AGENDA AUGUST'11 (FN-2)" xfId="105"/>
    <cellStyle name="20% - Accent2 2" xfId="106"/>
    <cellStyle name="20% - Accent2 2 2" xfId="107"/>
    <cellStyle name="20% - Accent2 2 3" xfId="108"/>
    <cellStyle name="20% - Accent2 2 4" xfId="109"/>
    <cellStyle name="20% - Accent2 2 5" xfId="110"/>
    <cellStyle name="20% - Accent2 2 6" xfId="111"/>
    <cellStyle name="20% - Accent2 2 7" xfId="112"/>
    <cellStyle name="20% - Accent2 2_AGENDA AUGUST'11 (FN-2)" xfId="113"/>
    <cellStyle name="20% - Accent3 2" xfId="114"/>
    <cellStyle name="20% - Accent3 2 2" xfId="115"/>
    <cellStyle name="20% - Accent3 2 3" xfId="116"/>
    <cellStyle name="20% - Accent3 2 4" xfId="117"/>
    <cellStyle name="20% - Accent3 2 5" xfId="118"/>
    <cellStyle name="20% - Accent3 2 6" xfId="119"/>
    <cellStyle name="20% - Accent3 2 7" xfId="120"/>
    <cellStyle name="20% - Accent3 2_AGENDA AUGUST'11 (FN-2)" xfId="121"/>
    <cellStyle name="20% - Accent4 2" xfId="122"/>
    <cellStyle name="20% - Accent4 2 2" xfId="123"/>
    <cellStyle name="20% - Accent4 2 3" xfId="124"/>
    <cellStyle name="20% - Accent4 2 4" xfId="125"/>
    <cellStyle name="20% - Accent4 2 5" xfId="126"/>
    <cellStyle name="20% - Accent4 2 6" xfId="127"/>
    <cellStyle name="20% - Accent4 2 7" xfId="128"/>
    <cellStyle name="20% - Accent4 2_AGENDA AUGUST'11 (FN-2)" xfId="129"/>
    <cellStyle name="20% - Accent5 2" xfId="130"/>
    <cellStyle name="20% - Accent5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_AGENDA AUGUST'11 (FN-2)" xfId="137"/>
    <cellStyle name="20% - Accent6 2" xfId="138"/>
    <cellStyle name="20% - Accent6 2 2" xfId="139"/>
    <cellStyle name="20% - Accent6 2 3" xfId="140"/>
    <cellStyle name="20% - Accent6 2 4" xfId="141"/>
    <cellStyle name="20% - Accent6 2 5" xfId="142"/>
    <cellStyle name="20% - Accent6 2 6" xfId="143"/>
    <cellStyle name="20% - Accent6 2 7" xfId="144"/>
    <cellStyle name="20% - Accent6 2_AGENDA AUGUST'11 (FN-2)" xfId="145"/>
    <cellStyle name="20% - Colore 1" xfId="146"/>
    <cellStyle name="20% - Colore 2" xfId="147"/>
    <cellStyle name="20% - Colore 3" xfId="148"/>
    <cellStyle name="20% - Colore 4" xfId="149"/>
    <cellStyle name="20% - Colore 5" xfId="150"/>
    <cellStyle name="20% - Colore 6" xfId="151"/>
    <cellStyle name="40% - Accent1 2" xfId="152"/>
    <cellStyle name="40% - Accent1 2 2" xfId="153"/>
    <cellStyle name="40% - Accent1 2 3" xfId="154"/>
    <cellStyle name="40% - Accent1 2 4" xfId="155"/>
    <cellStyle name="40% - Accent1 2 5" xfId="156"/>
    <cellStyle name="40% - Accent1 2 6" xfId="157"/>
    <cellStyle name="40% - Accent1 2 7" xfId="158"/>
    <cellStyle name="40% - Accent1 2_AGENDA AUGUST'11 (FN-2)" xfId="159"/>
    <cellStyle name="40% - Accent2 2" xfId="160"/>
    <cellStyle name="40% - Accent2 2 2" xfId="161"/>
    <cellStyle name="40% - Accent2 2 3" xfId="162"/>
    <cellStyle name="40% - Accent2 2 4" xfId="163"/>
    <cellStyle name="40% - Accent2 2 5" xfId="164"/>
    <cellStyle name="40% - Accent2 2 6" xfId="165"/>
    <cellStyle name="40% - Accent2 2 7" xfId="166"/>
    <cellStyle name="40% - Accent2 2_AGENDA AUGUST'11 (FN-2)" xfId="167"/>
    <cellStyle name="40% - Accent3 2" xfId="168"/>
    <cellStyle name="40% - Accent3 2 2" xfId="169"/>
    <cellStyle name="40% - Accent3 2 3" xfId="170"/>
    <cellStyle name="40% - Accent3 2 4" xfId="171"/>
    <cellStyle name="40% - Accent3 2 5" xfId="172"/>
    <cellStyle name="40% - Accent3 2 6" xfId="173"/>
    <cellStyle name="40% - Accent3 2 7" xfId="174"/>
    <cellStyle name="40% - Accent3 2_AGENDA AUGUST'11 (FN-2)" xfId="175"/>
    <cellStyle name="40% - Accent4 2" xfId="176"/>
    <cellStyle name="40% - Accent4 2 2" xfId="177"/>
    <cellStyle name="40% - Accent4 2 3" xfId="178"/>
    <cellStyle name="40% - Accent4 2 4" xfId="179"/>
    <cellStyle name="40% - Accent4 2 5" xfId="180"/>
    <cellStyle name="40% - Accent4 2 6" xfId="181"/>
    <cellStyle name="40% - Accent4 2 7" xfId="182"/>
    <cellStyle name="40% - Accent4 2_AGENDA AUGUST'11 (FN-2)" xfId="183"/>
    <cellStyle name="40% - Accent5 2" xfId="184"/>
    <cellStyle name="40% - Accent5 2 2" xfId="185"/>
    <cellStyle name="40% - Accent5 2 3" xfId="186"/>
    <cellStyle name="40% - Accent5 2 4" xfId="187"/>
    <cellStyle name="40% - Accent5 2 5" xfId="188"/>
    <cellStyle name="40% - Accent5 2 6" xfId="189"/>
    <cellStyle name="40% - Accent5 2 7" xfId="190"/>
    <cellStyle name="40% - Accent5 2_AGENDA AUGUST'11 (FN-2)" xfId="191"/>
    <cellStyle name="40% - Accent6 2" xfId="192"/>
    <cellStyle name="40% - Accent6 2 2" xfId="193"/>
    <cellStyle name="40% - Accent6 2 3" xfId="194"/>
    <cellStyle name="40% - Accent6 2 4" xfId="195"/>
    <cellStyle name="40% - Accent6 2 5" xfId="196"/>
    <cellStyle name="40% - Accent6 2 6" xfId="197"/>
    <cellStyle name="40% - Accent6 2 7" xfId="198"/>
    <cellStyle name="40% - Accent6 2_AGENDA AUGUST'11 (FN-2)" xfId="199"/>
    <cellStyle name="40% - Colore 1" xfId="200"/>
    <cellStyle name="40% - Colore 2" xfId="201"/>
    <cellStyle name="40% - Colore 3" xfId="202"/>
    <cellStyle name="40% - Colore 4" xfId="203"/>
    <cellStyle name="40% - Colore 5" xfId="204"/>
    <cellStyle name="40% - Colore 6" xfId="205"/>
    <cellStyle name="60% - Accent1 2" xfId="206"/>
    <cellStyle name="60% - Accent2 2" xfId="207"/>
    <cellStyle name="60% - Accent3 2" xfId="208"/>
    <cellStyle name="60% - Accent4 2" xfId="209"/>
    <cellStyle name="60% - Accent5 2" xfId="210"/>
    <cellStyle name="60% - Accent6 2" xfId="211"/>
    <cellStyle name="60% - Colore 1" xfId="212"/>
    <cellStyle name="60% - Colore 2" xfId="213"/>
    <cellStyle name="60% - Colore 3" xfId="214"/>
    <cellStyle name="60% - Colore 4" xfId="215"/>
    <cellStyle name="60% - Colore 5" xfId="216"/>
    <cellStyle name="60% - Colore 6" xfId="217"/>
    <cellStyle name="Accent1 2" xfId="218"/>
    <cellStyle name="Accent2 2" xfId="219"/>
    <cellStyle name="Accent3 2" xfId="220"/>
    <cellStyle name="Accent4 2" xfId="221"/>
    <cellStyle name="Accent5 2" xfId="222"/>
    <cellStyle name="Accent6 2" xfId="223"/>
    <cellStyle name="Bad 2" xfId="224"/>
    <cellStyle name="Bilanz" xfId="225"/>
    <cellStyle name="ç" xfId="226"/>
    <cellStyle name="Calc Currency (0)" xfId="227"/>
    <cellStyle name="Calc Currency (2)" xfId="228"/>
    <cellStyle name="Calc Percent (0)" xfId="229"/>
    <cellStyle name="Calc Percent (1)" xfId="230"/>
    <cellStyle name="Calc Percent (2)" xfId="231"/>
    <cellStyle name="Calc Units (0)" xfId="232"/>
    <cellStyle name="Calc Units (1)" xfId="233"/>
    <cellStyle name="Calc Units (2)" xfId="234"/>
    <cellStyle name="Calcolo" xfId="235"/>
    <cellStyle name="Calculation 2" xfId="236"/>
    <cellStyle name="Cella collegata" xfId="237"/>
    <cellStyle name="Cella da controllare" xfId="238"/>
    <cellStyle name="Check Cell 2" xfId="239"/>
    <cellStyle name="Check Cell 2 2" xfId="240"/>
    <cellStyle name="Check Cell 2 3" xfId="241"/>
    <cellStyle name="Check Cell 2 4" xfId="242"/>
    <cellStyle name="Check Cell 2 5" xfId="243"/>
    <cellStyle name="Check Cell 2 6" xfId="244"/>
    <cellStyle name="Check Cell 2 7" xfId="245"/>
    <cellStyle name="Check Cell 2_AGENDA AUGUST'11 (FN-2)" xfId="246"/>
    <cellStyle name="Colore 1" xfId="247"/>
    <cellStyle name="Colore 2" xfId="248"/>
    <cellStyle name="Colore 3" xfId="249"/>
    <cellStyle name="Colore 4" xfId="250"/>
    <cellStyle name="Colore 5" xfId="251"/>
    <cellStyle name="Colore 6" xfId="252"/>
    <cellStyle name="Comma  - Style1" xfId="253"/>
    <cellStyle name="Comma  - Style2" xfId="254"/>
    <cellStyle name="Comma  - Style3" xfId="255"/>
    <cellStyle name="Comma  - Style4" xfId="256"/>
    <cellStyle name="Comma  - Style5" xfId="257"/>
    <cellStyle name="Comma  - Style6" xfId="258"/>
    <cellStyle name="Comma  - Style7" xfId="259"/>
    <cellStyle name="Comma  - Style8" xfId="260"/>
    <cellStyle name="Comma [0] 2" xfId="261"/>
    <cellStyle name="Comma [0] 3" xfId="262"/>
    <cellStyle name="Comma [0] 3 2" xfId="263"/>
    <cellStyle name="Comma [0] 3 3" xfId="264"/>
    <cellStyle name="Comma [0] 3 4" xfId="265"/>
    <cellStyle name="Comma [0] 3 5" xfId="266"/>
    <cellStyle name="Comma [0] 3 6" xfId="267"/>
    <cellStyle name="Comma [0] 3 7" xfId="268"/>
    <cellStyle name="Comma [0] 4" xfId="269"/>
    <cellStyle name="Comma [0] 4 2" xfId="270"/>
    <cellStyle name="Comma [0] 4 3" xfId="271"/>
    <cellStyle name="Comma [0] 4 4" xfId="272"/>
    <cellStyle name="Comma [0] 4 5" xfId="273"/>
    <cellStyle name="Comma [0] 4 6" xfId="274"/>
    <cellStyle name="Comma [0] 4 7" xfId="275"/>
    <cellStyle name="Comma [00]" xfId="276"/>
    <cellStyle name="Comma 2" xfId="277"/>
    <cellStyle name="Comma 2 2" xfId="278"/>
    <cellStyle name="Comma 2 3" xfId="279"/>
    <cellStyle name="Comma 2 4" xfId="280"/>
    <cellStyle name="Comma 2 5" xfId="281"/>
    <cellStyle name="Comma 2 6" xfId="282"/>
    <cellStyle name="Comma 2 7" xfId="283"/>
    <cellStyle name="Comma 2_Book1" xfId="284"/>
    <cellStyle name="Comma 3" xfId="285"/>
    <cellStyle name="Comma 3 2" xfId="286"/>
    <cellStyle name="Comma 3 3" xfId="287"/>
    <cellStyle name="Comma 3 4" xfId="288"/>
    <cellStyle name="Comma 3 5" xfId="289"/>
    <cellStyle name="Comma 3 6" xfId="290"/>
    <cellStyle name="Comma 3 7" xfId="291"/>
    <cellStyle name="Comma 3_AB OK BASE MODEL JUN '11" xfId="292"/>
    <cellStyle name="Comma 4" xfId="293"/>
    <cellStyle name="Comma 5" xfId="294"/>
    <cellStyle name="Comma 5 2" xfId="295"/>
    <cellStyle name="Comma 5_Capex HPS June'11" xfId="296"/>
    <cellStyle name="Comma 6" xfId="297"/>
    <cellStyle name="Comma 6 2" xfId="298"/>
    <cellStyle name="Comma 7" xfId="299"/>
    <cellStyle name="Comma 8" xfId="300"/>
    <cellStyle name="Currency [00]" xfId="301"/>
    <cellStyle name="Currency 2" xfId="302"/>
    <cellStyle name="custom" xfId="303"/>
    <cellStyle name="Date" xfId="304"/>
    <cellStyle name="Date Short" xfId="305"/>
    <cellStyle name="Date_Aug'11" xfId="306"/>
    <cellStyle name="Dezimal [0]_BSC-Vorlage 2002.xls Diagramm 1" xfId="307"/>
    <cellStyle name="Dezimal_BSC-Vorlage 2002.xls Diagramm 1" xfId="308"/>
    <cellStyle name="Enter Currency (0)" xfId="309"/>
    <cellStyle name="Enter Currency (2)" xfId="310"/>
    <cellStyle name="Enter Units (0)" xfId="311"/>
    <cellStyle name="Enter Units (1)" xfId="312"/>
    <cellStyle name="Enter Units (2)" xfId="313"/>
    <cellStyle name="Euro" xfId="314"/>
    <cellStyle name="Explanatory Text 2" xfId="315"/>
    <cellStyle name="F2" xfId="316"/>
    <cellStyle name="F3" xfId="317"/>
    <cellStyle name="F4" xfId="318"/>
    <cellStyle name="F5" xfId="319"/>
    <cellStyle name="F6" xfId="320"/>
    <cellStyle name="F7" xfId="321"/>
    <cellStyle name="F8" xfId="322"/>
    <cellStyle name="Fixed" xfId="323"/>
    <cellStyle name="Good 2" xfId="324"/>
    <cellStyle name="Grey" xfId="325"/>
    <cellStyle name="Header1" xfId="326"/>
    <cellStyle name="Header2" xfId="327"/>
    <cellStyle name="Heading 1 2" xfId="328"/>
    <cellStyle name="Heading 2 2" xfId="329"/>
    <cellStyle name="Heading 3 2" xfId="330"/>
    <cellStyle name="Heading 4 2" xfId="331"/>
    <cellStyle name="HEADING1" xfId="332"/>
    <cellStyle name="HEADING2" xfId="333"/>
    <cellStyle name="Hyperlink 2" xfId="334"/>
    <cellStyle name="Input [yellow]" xfId="335"/>
    <cellStyle name="Input 2" xfId="336"/>
    <cellStyle name="Link Currency (0)" xfId="337"/>
    <cellStyle name="Link Currency (2)" xfId="338"/>
    <cellStyle name="Link Units (0)" xfId="339"/>
    <cellStyle name="Link Units (1)" xfId="340"/>
    <cellStyle name="Link Units (2)" xfId="341"/>
    <cellStyle name="Linked Cell 2" xfId="342"/>
    <cellStyle name="Migliaia (0)_CONG" xfId="343"/>
    <cellStyle name="Migliaia_JCB PROJECT CAPEX ESTIMATION REV 1" xfId="344"/>
    <cellStyle name="Milliers [0]_!!!GO" xfId="345"/>
    <cellStyle name="Milliers_!!!GO" xfId="346"/>
    <cellStyle name="Moeda [0]_aola" xfId="347"/>
    <cellStyle name="Moeda_aola" xfId="348"/>
    <cellStyle name="Monétaire [0]_!!!GO" xfId="349"/>
    <cellStyle name="Monétaire_!!!GO" xfId="350"/>
    <cellStyle name="Neutral 2" xfId="351"/>
    <cellStyle name="Neutrale" xfId="352"/>
    <cellStyle name="no dec" xfId="353"/>
    <cellStyle name="Nor}al" xfId="354"/>
    <cellStyle name="Nor}al 2" xfId="355"/>
    <cellStyle name="Nor}al 3" xfId="356"/>
    <cellStyle name="Normal" xfId="0" builtinId="0"/>
    <cellStyle name="Normal - Style1" xfId="357"/>
    <cellStyle name="Normal 11" xfId="358"/>
    <cellStyle name="Normal 2" xfId="359"/>
    <cellStyle name="Normal 2 2" xfId="360"/>
    <cellStyle name="Normal 2 3" xfId="361"/>
    <cellStyle name="Normal 2 4" xfId="362"/>
    <cellStyle name="Normal 2_Approved Budget 2009-2010 -DTD I 25.08.09" xfId="363"/>
    <cellStyle name="Normal 3" xfId="364"/>
    <cellStyle name="Normal 4" xfId="365"/>
    <cellStyle name="Normal 4 2" xfId="366"/>
    <cellStyle name="Normal 4 3" xfId="367"/>
    <cellStyle name="Normal 4 4" xfId="368"/>
    <cellStyle name="Normal 4 5" xfId="369"/>
    <cellStyle name="Normal 4 6" xfId="370"/>
    <cellStyle name="Normal 4 7" xfId="371"/>
    <cellStyle name="Normal 4_AGENDA AUGUST'11 (FN-2)" xfId="372"/>
    <cellStyle name="Normal_WEEKLY PLAN FOR SKH-2 (07-NOV-TO 14-NOV-2011)" xfId="373"/>
    <cellStyle name="Normale 10" xfId="374"/>
    <cellStyle name="Normale 11" xfId="375"/>
    <cellStyle name="Normale 12" xfId="376"/>
    <cellStyle name="Normale 2" xfId="377"/>
    <cellStyle name="Normale 2 2" xfId="378"/>
    <cellStyle name="Normale 2_Sept'11" xfId="379"/>
    <cellStyle name="Normale 3" xfId="380"/>
    <cellStyle name="Normale 3 2" xfId="381"/>
    <cellStyle name="Normale 3_Sept'11" xfId="382"/>
    <cellStyle name="Normale 4" xfId="383"/>
    <cellStyle name="Normale 5" xfId="384"/>
    <cellStyle name="Normale 5 2" xfId="385"/>
    <cellStyle name="Normale 6" xfId="386"/>
    <cellStyle name="Normale 7" xfId="387"/>
    <cellStyle name="Normale 8" xfId="388"/>
    <cellStyle name="Normale 8 2" xfId="389"/>
    <cellStyle name="Normale 9" xfId="390"/>
    <cellStyle name="Normale 9 2" xfId="391"/>
    <cellStyle name="Normale_Project ReportFinal(280307)" xfId="392"/>
    <cellStyle name="Normalny_Obciązenie maszyn  BDG 2008 con KA" xfId="393"/>
    <cellStyle name="Nota" xfId="394"/>
    <cellStyle name="Note 2" xfId="395"/>
    <cellStyle name="Note 2 10" xfId="396"/>
    <cellStyle name="Note 2 11" xfId="397"/>
    <cellStyle name="Note 2 12" xfId="398"/>
    <cellStyle name="Note 2 13" xfId="399"/>
    <cellStyle name="Note 2 2" xfId="400"/>
    <cellStyle name="Note 2 2 2" xfId="401"/>
    <cellStyle name="Note 2 2 2 2" xfId="402"/>
    <cellStyle name="Note 2 2 2 3" xfId="403"/>
    <cellStyle name="Note 2 2 2 4" xfId="404"/>
    <cellStyle name="Note 2 2 2 5" xfId="405"/>
    <cellStyle name="Note 2 2 2 6" xfId="406"/>
    <cellStyle name="Note 2 2 2 7" xfId="407"/>
    <cellStyle name="Note 2 2 3" xfId="408"/>
    <cellStyle name="Note 2 2 3 2" xfId="409"/>
    <cellStyle name="Note 2 2 3 3" xfId="410"/>
    <cellStyle name="Note 2 2 3 4" xfId="411"/>
    <cellStyle name="Note 2 2 3 5" xfId="412"/>
    <cellStyle name="Note 2 2 3 6" xfId="413"/>
    <cellStyle name="Note 2 2 3 7" xfId="414"/>
    <cellStyle name="Note 2 2 4" xfId="415"/>
    <cellStyle name="Note 2 2 4 2" xfId="416"/>
    <cellStyle name="Note 2 2 4 3" xfId="417"/>
    <cellStyle name="Note 2 2 4 4" xfId="418"/>
    <cellStyle name="Note 2 2 4 5" xfId="419"/>
    <cellStyle name="Note 2 2 4 6" xfId="420"/>
    <cellStyle name="Note 2 2 4 7" xfId="421"/>
    <cellStyle name="Note 2 2 5" xfId="422"/>
    <cellStyle name="Note 2 2 5 2" xfId="423"/>
    <cellStyle name="Note 2 2 5 3" xfId="424"/>
    <cellStyle name="Note 2 2 5 4" xfId="425"/>
    <cellStyle name="Note 2 2 5 5" xfId="426"/>
    <cellStyle name="Note 2 2 5 6" xfId="427"/>
    <cellStyle name="Note 2 2 5 7" xfId="428"/>
    <cellStyle name="Note 2 2 6" xfId="429"/>
    <cellStyle name="Note 2 2 6 2" xfId="430"/>
    <cellStyle name="Note 2 2 6 3" xfId="431"/>
    <cellStyle name="Note 2 2 6 4" xfId="432"/>
    <cellStyle name="Note 2 2 6 5" xfId="433"/>
    <cellStyle name="Note 2 2 6 6" xfId="434"/>
    <cellStyle name="Note 2 2 6 7" xfId="435"/>
    <cellStyle name="Note 2 2 7" xfId="436"/>
    <cellStyle name="Note 2 2 7 2" xfId="437"/>
    <cellStyle name="Note 2 2 7 3" xfId="438"/>
    <cellStyle name="Note 2 2 7 4" xfId="439"/>
    <cellStyle name="Note 2 2 7 5" xfId="440"/>
    <cellStyle name="Note 2 2 7 6" xfId="441"/>
    <cellStyle name="Note 2 2 7 7" xfId="442"/>
    <cellStyle name="Note 2 3" xfId="443"/>
    <cellStyle name="Note 2 4" xfId="444"/>
    <cellStyle name="Note 2 5" xfId="445"/>
    <cellStyle name="Note 2 6" xfId="446"/>
    <cellStyle name="Note 2 7" xfId="447"/>
    <cellStyle name="Note 2 8" xfId="448"/>
    <cellStyle name="Note 2 9" xfId="449"/>
    <cellStyle name="Note 3" xfId="450"/>
    <cellStyle name="Note 3 2" xfId="451"/>
    <cellStyle name="Note 3 3" xfId="452"/>
    <cellStyle name="Note 3 4" xfId="453"/>
    <cellStyle name="Note 3 5" xfId="454"/>
    <cellStyle name="Note 3 6" xfId="455"/>
    <cellStyle name="Note 3 7" xfId="456"/>
    <cellStyle name="Œ…‹æØ‚è [0.00]_PRODUCT DETAIL Q1" xfId="457"/>
    <cellStyle name="Œ…‹æØ‚è_PRODUCT DETAIL Q1" xfId="458"/>
    <cellStyle name="Output 2" xfId="459"/>
    <cellStyle name="ParaBirimi [0]_Dettaglio Altro" xfId="460"/>
    <cellStyle name="ParaBirimi_Dettaglio Altro" xfId="461"/>
    <cellStyle name="Percent" xfId="462" builtinId="5"/>
    <cellStyle name="Percent [0]" xfId="463"/>
    <cellStyle name="Percent [00]" xfId="464"/>
    <cellStyle name="Percent [2]" xfId="465"/>
    <cellStyle name="Percent 2" xfId="466"/>
    <cellStyle name="Percent 2 2" xfId="467"/>
    <cellStyle name="Percent 2_Book1" xfId="468"/>
    <cellStyle name="Percent 3" xfId="469"/>
    <cellStyle name="Percent 3 2" xfId="470"/>
    <cellStyle name="Percent 3 3" xfId="471"/>
    <cellStyle name="Percent 4" xfId="472"/>
    <cellStyle name="Percent 5" xfId="473"/>
    <cellStyle name="Percent 6" xfId="474"/>
    <cellStyle name="Percent 7" xfId="475"/>
    <cellStyle name="PillarData" xfId="476"/>
    <cellStyle name="PillarText" xfId="477"/>
    <cellStyle name="PrePop Currency (0)" xfId="478"/>
    <cellStyle name="PrePop Currency (2)" xfId="479"/>
    <cellStyle name="PrePop Units (0)" xfId="480"/>
    <cellStyle name="PrePop Units (1)" xfId="481"/>
    <cellStyle name="PrePop Units (2)" xfId="482"/>
    <cellStyle name="PSChar" xfId="483"/>
    <cellStyle name="PSDate" xfId="484"/>
    <cellStyle name="PSDec" xfId="485"/>
    <cellStyle name="PSHeading" xfId="486"/>
    <cellStyle name="PSInt" xfId="487"/>
    <cellStyle name="PSSpacer" xfId="488"/>
    <cellStyle name="Rotax Datum" xfId="489"/>
    <cellStyle name="Separador de milhares [0]_Person" xfId="490"/>
    <cellStyle name="Separador de milhares_Person" xfId="491"/>
    <cellStyle name="STANDARD" xfId="492"/>
    <cellStyle name="STYL1 - Style1" xfId="493"/>
    <cellStyle name="STYL2 - Style2" xfId="494"/>
    <cellStyle name="STYL3 - Style3" xfId="495"/>
    <cellStyle name="STYL4 - Style4" xfId="496"/>
    <cellStyle name="STYL5 - Style5" xfId="497"/>
    <cellStyle name="Style 1" xfId="498"/>
    <cellStyle name="Style 1 2" xfId="499"/>
    <cellStyle name="Style 1 3" xfId="500"/>
    <cellStyle name="Style 1 4" xfId="501"/>
    <cellStyle name="Style 1 5" xfId="502"/>
    <cellStyle name="Style 1 6" xfId="503"/>
    <cellStyle name="Style 1 7" xfId="504"/>
    <cellStyle name="Style 1_Aug'11 Stock SKH1 &amp; 3" xfId="505"/>
    <cellStyle name="Testo avviso" xfId="506"/>
    <cellStyle name="Testo descrittivo" xfId="507"/>
    <cellStyle name="Text Indent A" xfId="508"/>
    <cellStyle name="Text Indent B" xfId="509"/>
    <cellStyle name="Text Indent C" xfId="510"/>
    <cellStyle name="Title 2" xfId="511"/>
    <cellStyle name="Titolo" xfId="512"/>
    <cellStyle name="Titolo 1" xfId="513"/>
    <cellStyle name="Titolo 2" xfId="514"/>
    <cellStyle name="Titolo 3" xfId="515"/>
    <cellStyle name="Titolo 4" xfId="516"/>
    <cellStyle name="Total 2" xfId="517"/>
    <cellStyle name="Total 2 2" xfId="518"/>
    <cellStyle name="Total 2 3" xfId="519"/>
    <cellStyle name="Total 2 4" xfId="520"/>
    <cellStyle name="Total 2 5" xfId="521"/>
    <cellStyle name="Total 2 6" xfId="522"/>
    <cellStyle name="Total 2 7" xfId="523"/>
    <cellStyle name="Total 2_AGENDA AUGUST'11 (FN-2)" xfId="524"/>
    <cellStyle name="Totale" xfId="525"/>
    <cellStyle name="Unit" xfId="526"/>
    <cellStyle name="Update" xfId="527"/>
    <cellStyle name="Valore non valido" xfId="528"/>
    <cellStyle name="Valore valido" xfId="529"/>
    <cellStyle name="Valuta (0)_AGE 01a" xfId="530"/>
    <cellStyle name="Valuta_VERA" xfId="531"/>
    <cellStyle name="Virgül [0]_Dettaglio Altro" xfId="532"/>
    <cellStyle name="Virgül_BÜTÇE 6  6 stab Estero1SON" xfId="533"/>
    <cellStyle name="Währung [0]_BSC-Vorlage 2002.xls Diagramm 1" xfId="534"/>
    <cellStyle name="Währung_BSC-Vorlage 2002.xls Diagramm 1" xfId="535"/>
    <cellStyle name="Warning Text 2" xfId="536"/>
    <cellStyle name="ปกติ_QUOTATION FOR CMBR FR CHINA PROJ" xfId="537"/>
    <cellStyle name="一般_050818 development time" xfId="538"/>
    <cellStyle name="標準_0134- YL6 KOSAI USED DIES TO VENDORS" xfId="5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/>
          <a:lstStyle/>
          <a:p>
            <a:pPr>
              <a:defRPr lang="en-US"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CATAGORISED WISE POTENTIONAL-SKH3</a:t>
            </a:r>
          </a:p>
        </c:rich>
      </c:tx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'Summary - 1, 2 &amp; 3'!$B$3:$B$4</c:f>
              <c:strCache>
                <c:ptCount val="2"/>
                <c:pt idx="0">
                  <c:v>Reduction In Blank Size</c:v>
                </c:pt>
                <c:pt idx="1">
                  <c:v>Process Improvement</c:v>
                </c:pt>
              </c:strCache>
            </c:strRef>
          </c:cat>
          <c:val>
            <c:numRef>
              <c:f>'Summary - 1, 2 &amp; 3'!$G$3:$G$4</c:f>
              <c:numCache>
                <c:formatCode>#,##0.00</c:formatCode>
                <c:ptCount val="2"/>
                <c:pt idx="0">
                  <c:v>319.92187537995204</c:v>
                </c:pt>
                <c:pt idx="1">
                  <c:v>395.63735821446511</c:v>
                </c:pt>
              </c:numCache>
            </c:numRef>
          </c:val>
        </c:ser>
        <c:dLbls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t"/>
      <c:txPr>
        <a:bodyPr/>
        <a:lstStyle/>
        <a:p>
          <a:pPr>
            <a:defRPr lang="en-US"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3</xdr:row>
      <xdr:rowOff>0</xdr:rowOff>
    </xdr:from>
    <xdr:to>
      <xdr:col>24</xdr:col>
      <xdr:colOff>28575</xdr:colOff>
      <xdr:row>10</xdr:row>
      <xdr:rowOff>219075</xdr:rowOff>
    </xdr:to>
    <xdr:graphicFrame macro="">
      <xdr:nvGraphicFramePr>
        <xdr:cNvPr id="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79662</xdr:colOff>
      <xdr:row>10</xdr:row>
      <xdr:rowOff>76200</xdr:rowOff>
    </xdr:from>
    <xdr:to>
      <xdr:col>3</xdr:col>
      <xdr:colOff>1362940</xdr:colOff>
      <xdr:row>10</xdr:row>
      <xdr:rowOff>1035627</xdr:rowOff>
    </xdr:to>
    <xdr:pic>
      <xdr:nvPicPr>
        <xdr:cNvPr id="668026" name="Picture 3" descr="1724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1729" t="15463" r="4320" b="11340"/>
        <a:stretch>
          <a:fillRect/>
        </a:stretch>
      </xdr:blipFill>
      <xdr:spPr bwMode="auto">
        <a:xfrm>
          <a:off x="3387435" y="7297882"/>
          <a:ext cx="1283278" cy="959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1428750</xdr:colOff>
      <xdr:row>10</xdr:row>
      <xdr:rowOff>9525</xdr:rowOff>
    </xdr:from>
    <xdr:to>
      <xdr:col>4</xdr:col>
      <xdr:colOff>0</xdr:colOff>
      <xdr:row>10</xdr:row>
      <xdr:rowOff>968952</xdr:rowOff>
    </xdr:to>
    <xdr:pic>
      <xdr:nvPicPr>
        <xdr:cNvPr id="668027" name="Picture 4" descr="17244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5501" t="6357" r="7497" b="6529"/>
        <a:stretch>
          <a:fillRect/>
        </a:stretch>
      </xdr:blipFill>
      <xdr:spPr bwMode="auto">
        <a:xfrm>
          <a:off x="4743450" y="9896475"/>
          <a:ext cx="11430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6</xdr:row>
      <xdr:rowOff>76200</xdr:rowOff>
    </xdr:from>
    <xdr:to>
      <xdr:col>3</xdr:col>
      <xdr:colOff>2457450</xdr:colOff>
      <xdr:row>7</xdr:row>
      <xdr:rowOff>0</xdr:rowOff>
    </xdr:to>
    <xdr:pic>
      <xdr:nvPicPr>
        <xdr:cNvPr id="668030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3762375"/>
          <a:ext cx="2381250" cy="809625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142875</xdr:colOff>
      <xdr:row>7</xdr:row>
      <xdr:rowOff>95250</xdr:rowOff>
    </xdr:from>
    <xdr:to>
      <xdr:col>3</xdr:col>
      <xdr:colOff>2524125</xdr:colOff>
      <xdr:row>8</xdr:row>
      <xdr:rowOff>0</xdr:rowOff>
    </xdr:to>
    <xdr:pic>
      <xdr:nvPicPr>
        <xdr:cNvPr id="668031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4667250"/>
          <a:ext cx="2381250" cy="790575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123825</xdr:colOff>
      <xdr:row>12</xdr:row>
      <xdr:rowOff>104775</xdr:rowOff>
    </xdr:from>
    <xdr:to>
      <xdr:col>3</xdr:col>
      <xdr:colOff>1076325</xdr:colOff>
      <xdr:row>12</xdr:row>
      <xdr:rowOff>1104900</xdr:rowOff>
    </xdr:to>
    <xdr:pic>
      <xdr:nvPicPr>
        <xdr:cNvPr id="668039" name="Picture 5" descr="17244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8042" t="8075" r="10559" b="20447"/>
        <a:stretch>
          <a:fillRect/>
        </a:stretch>
      </xdr:blipFill>
      <xdr:spPr bwMode="auto">
        <a:xfrm>
          <a:off x="3438525" y="13830300"/>
          <a:ext cx="952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1104900</xdr:colOff>
      <xdr:row>12</xdr:row>
      <xdr:rowOff>85725</xdr:rowOff>
    </xdr:from>
    <xdr:to>
      <xdr:col>3</xdr:col>
      <xdr:colOff>2362200</xdr:colOff>
      <xdr:row>12</xdr:row>
      <xdr:rowOff>1104900</xdr:rowOff>
    </xdr:to>
    <xdr:pic>
      <xdr:nvPicPr>
        <xdr:cNvPr id="668040" name="Picture 6" descr="17245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099" t="3780" r="9470" b="30069"/>
        <a:stretch>
          <a:fillRect/>
        </a:stretch>
      </xdr:blipFill>
      <xdr:spPr bwMode="auto">
        <a:xfrm>
          <a:off x="4419600" y="13811250"/>
          <a:ext cx="1257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11</xdr:row>
      <xdr:rowOff>104775</xdr:rowOff>
    </xdr:from>
    <xdr:to>
      <xdr:col>3</xdr:col>
      <xdr:colOff>1076325</xdr:colOff>
      <xdr:row>11</xdr:row>
      <xdr:rowOff>1104900</xdr:rowOff>
    </xdr:to>
    <xdr:pic>
      <xdr:nvPicPr>
        <xdr:cNvPr id="668041" name="Picture 5" descr="17244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8042" t="8075" r="10559" b="20447"/>
        <a:stretch>
          <a:fillRect/>
        </a:stretch>
      </xdr:blipFill>
      <xdr:spPr bwMode="auto">
        <a:xfrm>
          <a:off x="3438525" y="12649200"/>
          <a:ext cx="952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1104900</xdr:colOff>
      <xdr:row>11</xdr:row>
      <xdr:rowOff>85725</xdr:rowOff>
    </xdr:from>
    <xdr:to>
      <xdr:col>3</xdr:col>
      <xdr:colOff>2362200</xdr:colOff>
      <xdr:row>11</xdr:row>
      <xdr:rowOff>1104900</xdr:rowOff>
    </xdr:to>
    <xdr:pic>
      <xdr:nvPicPr>
        <xdr:cNvPr id="668042" name="Picture 6" descr="17245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099" t="3780" r="9470" b="30069"/>
        <a:stretch>
          <a:fillRect/>
        </a:stretch>
      </xdr:blipFill>
      <xdr:spPr bwMode="auto">
        <a:xfrm>
          <a:off x="4419600" y="12630150"/>
          <a:ext cx="1257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2352675</xdr:colOff>
      <xdr:row>5</xdr:row>
      <xdr:rowOff>809625</xdr:rowOff>
    </xdr:to>
    <xdr:pic>
      <xdr:nvPicPr>
        <xdr:cNvPr id="45" name="Picture 33" descr="IMG_1539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773" y="2805545"/>
          <a:ext cx="2352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86590</xdr:colOff>
      <xdr:row>4</xdr:row>
      <xdr:rowOff>34636</xdr:rowOff>
    </xdr:from>
    <xdr:to>
      <xdr:col>3</xdr:col>
      <xdr:colOff>2486890</xdr:colOff>
      <xdr:row>4</xdr:row>
      <xdr:rowOff>794038</xdr:rowOff>
    </xdr:to>
    <xdr:pic>
      <xdr:nvPicPr>
        <xdr:cNvPr id="46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4363" y="1956954"/>
          <a:ext cx="2400300" cy="75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8</xdr:row>
      <xdr:rowOff>0</xdr:rowOff>
    </xdr:from>
    <xdr:to>
      <xdr:col>3</xdr:col>
      <xdr:colOff>2409825</xdr:colOff>
      <xdr:row>8</xdr:row>
      <xdr:rowOff>759403</xdr:rowOff>
    </xdr:to>
    <xdr:pic>
      <xdr:nvPicPr>
        <xdr:cNvPr id="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773" y="5455227"/>
          <a:ext cx="2409825" cy="759403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9</xdr:row>
      <xdr:rowOff>19050</xdr:rowOff>
    </xdr:from>
    <xdr:to>
      <xdr:col>3</xdr:col>
      <xdr:colOff>1266825</xdr:colOff>
      <xdr:row>9</xdr:row>
      <xdr:rowOff>807027</xdr:rowOff>
    </xdr:to>
    <xdr:pic>
      <xdr:nvPicPr>
        <xdr:cNvPr id="4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773" y="6357505"/>
          <a:ext cx="1266825" cy="787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1247775</xdr:colOff>
      <xdr:row>9</xdr:row>
      <xdr:rowOff>0</xdr:rowOff>
    </xdr:from>
    <xdr:to>
      <xdr:col>3</xdr:col>
      <xdr:colOff>2438400</xdr:colOff>
      <xdr:row>9</xdr:row>
      <xdr:rowOff>807027</xdr:rowOff>
    </xdr:to>
    <xdr:pic>
      <xdr:nvPicPr>
        <xdr:cNvPr id="4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5548" y="6338455"/>
          <a:ext cx="1190625" cy="807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15</xdr:row>
      <xdr:rowOff>104775</xdr:rowOff>
    </xdr:from>
    <xdr:to>
      <xdr:col>3</xdr:col>
      <xdr:colOff>1076325</xdr:colOff>
      <xdr:row>15</xdr:row>
      <xdr:rowOff>1104900</xdr:rowOff>
    </xdr:to>
    <xdr:pic>
      <xdr:nvPicPr>
        <xdr:cNvPr id="50" name="Picture 5" descr="17244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8042" t="8075" r="10559" b="20447"/>
        <a:stretch>
          <a:fillRect/>
        </a:stretch>
      </xdr:blipFill>
      <xdr:spPr bwMode="auto">
        <a:xfrm>
          <a:off x="3431598" y="9664411"/>
          <a:ext cx="952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1104900</xdr:colOff>
      <xdr:row>15</xdr:row>
      <xdr:rowOff>85725</xdr:rowOff>
    </xdr:from>
    <xdr:to>
      <xdr:col>3</xdr:col>
      <xdr:colOff>2362200</xdr:colOff>
      <xdr:row>15</xdr:row>
      <xdr:rowOff>1104900</xdr:rowOff>
    </xdr:to>
    <xdr:pic>
      <xdr:nvPicPr>
        <xdr:cNvPr id="51" name="Picture 6" descr="17245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099" t="3780" r="9470" b="30069"/>
        <a:stretch>
          <a:fillRect/>
        </a:stretch>
      </xdr:blipFill>
      <xdr:spPr bwMode="auto">
        <a:xfrm>
          <a:off x="4412673" y="9645361"/>
          <a:ext cx="1257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3</xdr:row>
      <xdr:rowOff>104775</xdr:rowOff>
    </xdr:from>
    <xdr:to>
      <xdr:col>4</xdr:col>
      <xdr:colOff>0</xdr:colOff>
      <xdr:row>3</xdr:row>
      <xdr:rowOff>1104900</xdr:rowOff>
    </xdr:to>
    <xdr:pic>
      <xdr:nvPicPr>
        <xdr:cNvPr id="673806" name="Picture 5" descr="1724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8042" t="8075" r="10559" b="20447"/>
        <a:stretch>
          <a:fillRect/>
        </a:stretch>
      </xdr:blipFill>
      <xdr:spPr bwMode="auto">
        <a:xfrm>
          <a:off x="1952625" y="1333500"/>
          <a:ext cx="4857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1104900</xdr:colOff>
      <xdr:row>3</xdr:row>
      <xdr:rowOff>85725</xdr:rowOff>
    </xdr:from>
    <xdr:to>
      <xdr:col>4</xdr:col>
      <xdr:colOff>0</xdr:colOff>
      <xdr:row>3</xdr:row>
      <xdr:rowOff>1104900</xdr:rowOff>
    </xdr:to>
    <xdr:pic>
      <xdr:nvPicPr>
        <xdr:cNvPr id="673807" name="Picture 6" descr="17245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099" t="3780" r="9470" b="30069"/>
        <a:stretch>
          <a:fillRect/>
        </a:stretch>
      </xdr:blipFill>
      <xdr:spPr bwMode="auto">
        <a:xfrm>
          <a:off x="2438400" y="131445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4</xdr:row>
      <xdr:rowOff>95250</xdr:rowOff>
    </xdr:from>
    <xdr:to>
      <xdr:col>3</xdr:col>
      <xdr:colOff>1333500</xdr:colOff>
      <xdr:row>5</xdr:row>
      <xdr:rowOff>0</xdr:rowOff>
    </xdr:to>
    <xdr:pic>
      <xdr:nvPicPr>
        <xdr:cNvPr id="67380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2505075"/>
          <a:ext cx="5429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1314450</xdr:colOff>
      <xdr:row>4</xdr:row>
      <xdr:rowOff>76200</xdr:rowOff>
    </xdr:from>
    <xdr:to>
      <xdr:col>3</xdr:col>
      <xdr:colOff>2505075</xdr:colOff>
      <xdr:row>5</xdr:row>
      <xdr:rowOff>0</xdr:rowOff>
    </xdr:to>
    <xdr:pic>
      <xdr:nvPicPr>
        <xdr:cNvPr id="67380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486025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069ib\e\Deep\Budget%202003-04\Final%20COST%20SHEET%20(2003-04)-%20revised%20budget(OCT-MAR)%20Cost%20Shee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K%20BHARDWAJ/HPS%20PRODUCTION/DEC.%2007/MIS%20REPORT%20HP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inkukumar/Desktop/DESTOP%20ITEMS/DESTOP/Details/SKH%20Metals/MACHINE%20MATRI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HML/Others/CPS%20DATA/SK%20BHARDWAJ/HPS%20PRODUCTION/DEC.%2007/MIS%20REPORT%20HP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HML/Others/CPS%20DATA/gvs/SK%20BHARDWAJ/HPS%20PRODUCTION/DEC.%2007/MIS%20REPORT%20HP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NKG-SPM/customers/spil/COSTING/PRICE%20WEF%2001.01.2008%20PROVISIO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ommon\giopic\Omnia%20express\REPORT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vaccari/Impostazioni%20locali/Temporary%20Internet%20Files/DOCUME~1/gf08271/IMPOST~1/Temp/Documents%20and%20Settings/danielaf/Impostazioni%20locali/Temporary%20Internet%20Files/OLK17/Fs%20TDB%20NEW/5.%20FS%20Cargo/giopic/OMNI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rone\piano%20reecon\BUSPLA%20ULTIMO%20AGGIORNAMENTO%20PULIT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ujit\Costing%202008-09\MAY-2008\Costing%20plant-II%20UP%20TO%20MAY%202008\NEERAJ%20TIWARI\SKH%20(Tiwari)\Costing\plant-II\FINAL%20COSTING%20SKH-II\P&amp;L%20Customerwise%20PLANT-I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HARAM/RAW%20MATERIAL/2008-09/MARCH'09/PLANT%20-%20I%20(%20CONTRIBUTION%20)%20up%20to%2031.03.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EERAJ%20TIWARI/SKH%20(Tiwari)/Costing/COSTING%20FILES%20CM/Costing-(SKH-2)/COSTING(SKH-II)-07-08/COSTING-SKH-II(WORKING)/P&amp;L%20Customerwise%20PLANT-II.xl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HARAM/RAW%20MATERIAL/2008-09/MARCH'09/COSTING/ACTUAL/MAY'08/ONE%20ROW%20COST%20SHEET-%20PLANT%20-%201%20UPTO%20May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EERAJ%20TIWARI/SKH%20(Tiwari)/Costing/plant-I/FINAL%20COSTING%20SKH-I/ONE%20ROW%20COST%20SHEET(ACTUAL)%20-%20PLANT%20-%201%20UPTO%20March'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HARAM/COSTING/ACTUAL/MAY'08/P&amp;L%20Customerwise%20PLANT-I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ayansh%20jain/AppData/Roaming/Microsoft/Excel/Localisation%20tracking%20sheet%20(version%201).xlsb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kitjain.SKHMETALS/AppData/Local/Microsoft/Windows/Temporary%20Internet%20Files/Content.Outlook/QJUQ5Y0N/Cost%20saving%20Formate-may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runchopra/Desktop/Varun%20Doc/Cost%20Saving%20Activity%20Plant-1/Cost%20Saving%20Activity/summary%20detail%20sheet/17-05-2012%20to%2024-05-2012/Summary%20sheet%20for%20cost%20saving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070co\marketfeedba\MarketFeedback\B.Sridharan\MarketFeedback\RSRathee\MarketFeedback\Sekher%20barnwal\PIPE-Z-MES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070co\marketfeedba\MarketFeedback\B.Sridharan\MarketFeedback\RSRathee\SRIDHAR\DIRZEN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070co\marketfeedba\MarketFeedback\B.Sridharan\MarketFeedback\RSRathee\SRIDHAR\DIRCAR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070co\marketfeedba\MarketFeedback\B.Sridharan\MarketFeedback\RSRathee\MarketFeedback\Sekher%20barnwal\JBML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070co\marketfeedba\MarketFeedback\B.Sridharan\MarketFeedback\RSRathee\MarketFeedback\Sekher%20barnwal\MESL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188co\c\Budget\Revenue%20Budget%202002_03\CASH%20FLOW(2002-03)%20-%20170%20cr%20pbt%20approved%20by%20bod%20-monthwise%20corrected-2507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1189co\rdk_bac\Ripu\RDK_BAC\Bom%20Costing-%20Nov%2005\Estimated%20Contribution-Nov'05%20-%20Director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THLY"/>
      <sheetName val="SALES"/>
      <sheetName val="SUMMARY"/>
      <sheetName val="Parts order "/>
      <sheetName val="MONTHLY-Contribution"/>
      <sheetName val="Localisation benefit"/>
      <sheetName val="CONTROL"/>
      <sheetName val="Indg. Cost"/>
      <sheetName val="Imported ¥"/>
      <sheetName val="LOCALISATION(¥)"/>
      <sheetName val="LOCALISATION (Rs)"/>
      <sheetName val="Raw material"/>
      <sheetName val="Paint&amp; cons"/>
      <sheetName val="Aluminium Foundry items"/>
      <sheetName val="Advt &amp; sales promotion"/>
      <sheetName val="Advt &amp; sales promotion (2)"/>
      <sheetName val="Impact- subsidy"/>
      <sheetName val="SELLING PRICE"/>
      <sheetName val="Indg. Cost -Sc"/>
      <sheetName val="SMC Discount"/>
      <sheetName val="Car_Omni"/>
      <sheetName val="Zen Dom E-1"/>
      <sheetName val="Zen Dom MPI"/>
      <sheetName val="WagonR"/>
      <sheetName val="Alto Dom"/>
      <sheetName val="Gypsy"/>
      <sheetName val="Esteem MPI"/>
      <sheetName val="Baleno"/>
      <sheetName val="Versa"/>
      <sheetName val="Vitara"/>
      <sheetName val="LHDCAR"/>
      <sheetName val="Zen Exp"/>
      <sheetName val=" Alto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IS 28.12"/>
      <sheetName val="IED SPM"/>
      <sheetName val="MIS MASTER N"/>
      <sheetName val="MIS 27.12"/>
      <sheetName val="MIS26.12"/>
      <sheetName val="MIS25.12.07"/>
      <sheetName val="MIS24.12"/>
      <sheetName val="MIS 23.12"/>
      <sheetName val="MIS 21.12)"/>
      <sheetName val="MIS"/>
      <sheetName val="MIS20.12"/>
      <sheetName val="MIS19.12"/>
      <sheetName val="MIS 17.12"/>
      <sheetName val="MIS MASTER O"/>
      <sheetName val="MIS 16.12"/>
      <sheetName val="MIS MASTER old"/>
      <sheetName val="W M LINE"/>
      <sheetName val="CLEARING"/>
      <sheetName val="MULLER LINE"/>
      <sheetName val="MIS14.12"/>
      <sheetName val="MIS 13.12"/>
      <sheetName val="9 Dec."/>
      <sheetName val="6 Dec."/>
      <sheetName val="5 Dec. "/>
      <sheetName val="4Dec"/>
      <sheetName val="3D"/>
      <sheetName val="MEASURES"/>
      <sheetName val="LOSS "/>
      <sheetName val="BKM"/>
      <sheetName val="HPS LOAD PLAN"/>
      <sheetName val="MASTER FORMAT"/>
      <sheetName val="Dec. MIS"/>
      <sheetName val="MIS MASTER"/>
      <sheetName val="HPS MASTER REPORT"/>
      <sheetName val="MIS NEW"/>
    </sheetNames>
    <sheetDataSet>
      <sheetData sheetId="0"/>
      <sheetData sheetId="1">
        <row r="2">
          <cell r="A2" t="str">
            <v>MODEL_CD</v>
          </cell>
          <cell r="B2" t="str">
            <v>PART_NO</v>
          </cell>
          <cell r="C2" t="str">
            <v>OPRN_NO</v>
          </cell>
          <cell r="D2" t="str">
            <v>DEPT_NO</v>
          </cell>
          <cell r="E2" t="str">
            <v>PART_DESC</v>
          </cell>
          <cell r="F2" t="str">
            <v>OPRN_DESC</v>
          </cell>
          <cell r="G2" t="str">
            <v>MAN_ASGN</v>
          </cell>
          <cell r="H2" t="str">
            <v>NOR_TIME</v>
          </cell>
        </row>
        <row r="3">
          <cell r="A3" t="str">
            <v/>
          </cell>
          <cell r="B3" t="str">
            <v>3009407</v>
          </cell>
          <cell r="C3" t="str">
            <v>0030</v>
          </cell>
          <cell r="D3" t="str">
            <v>3707</v>
          </cell>
          <cell r="E3" t="str">
            <v>SHIFTER LEVER REVERSE</v>
          </cell>
          <cell r="F3" t="str">
            <v>BLK</v>
          </cell>
          <cell r="G3">
            <v>3</v>
          </cell>
          <cell r="H3">
            <v>0.13600000000000001</v>
          </cell>
        </row>
        <row r="4">
          <cell r="A4" t="str">
            <v>21</v>
          </cell>
          <cell r="B4" t="str">
            <v>3016338</v>
          </cell>
          <cell r="C4" t="str">
            <v>0020</v>
          </cell>
          <cell r="D4" t="str">
            <v>3707</v>
          </cell>
          <cell r="E4" t="str">
            <v>ANGLE ATTACHMENT FRT.FENDER RH</v>
          </cell>
          <cell r="F4" t="str">
            <v>BLK &amp; PIR</v>
          </cell>
          <cell r="G4">
            <v>2</v>
          </cell>
          <cell r="H4">
            <v>0.16300000000000001</v>
          </cell>
        </row>
        <row r="5">
          <cell r="A5" t="str">
            <v>21</v>
          </cell>
          <cell r="B5" t="str">
            <v>3016338</v>
          </cell>
          <cell r="C5" t="str">
            <v>0030</v>
          </cell>
          <cell r="D5" t="str">
            <v>3707</v>
          </cell>
          <cell r="E5" t="str">
            <v>ANGLE ATTACHMENT FRT.FENDER RH</v>
          </cell>
          <cell r="F5" t="str">
            <v>FORM</v>
          </cell>
          <cell r="G5">
            <v>2</v>
          </cell>
          <cell r="H5">
            <v>0.16300000000000001</v>
          </cell>
        </row>
        <row r="6">
          <cell r="A6" t="str">
            <v>PTL21</v>
          </cell>
          <cell r="B6" t="str">
            <v>3037273</v>
          </cell>
          <cell r="C6" t="str">
            <v>0050</v>
          </cell>
          <cell r="D6" t="str">
            <v>3707</v>
          </cell>
          <cell r="E6" t="str">
            <v>CYLINDER SIDE COVER</v>
          </cell>
          <cell r="F6" t="str">
            <v>TRM</v>
          </cell>
          <cell r="G6">
            <v>2</v>
          </cell>
          <cell r="H6">
            <v>0.13600000000000001</v>
          </cell>
        </row>
        <row r="7">
          <cell r="A7" t="str">
            <v>21</v>
          </cell>
          <cell r="B7" t="str">
            <v>3016338</v>
          </cell>
          <cell r="C7" t="str">
            <v>0040</v>
          </cell>
          <cell r="D7" t="str">
            <v>3707</v>
          </cell>
          <cell r="E7" t="str">
            <v>ANGLE ATTACHMENT FRT.FENDER RH</v>
          </cell>
          <cell r="F7" t="str">
            <v>P/OFF</v>
          </cell>
          <cell r="G7">
            <v>2</v>
          </cell>
          <cell r="H7">
            <v>0.16300000000000001</v>
          </cell>
        </row>
        <row r="8">
          <cell r="A8" t="str">
            <v>21</v>
          </cell>
          <cell r="B8" t="str">
            <v>3016338</v>
          </cell>
          <cell r="C8" t="str">
            <v>0050</v>
          </cell>
          <cell r="D8" t="str">
            <v>3707</v>
          </cell>
          <cell r="E8" t="str">
            <v>ANGLE ATTACHMENT FRT.FENDER RH</v>
          </cell>
          <cell r="F8" t="str">
            <v>PIERCE</v>
          </cell>
          <cell r="G8">
            <v>3</v>
          </cell>
          <cell r="H8">
            <v>0.16300000000000001</v>
          </cell>
        </row>
        <row r="9">
          <cell r="A9" t="str">
            <v>21</v>
          </cell>
          <cell r="B9" t="str">
            <v>3016339</v>
          </cell>
          <cell r="C9" t="str">
            <v>0020</v>
          </cell>
          <cell r="D9" t="str">
            <v>3707</v>
          </cell>
          <cell r="E9" t="str">
            <v>ANGLE ATTACHMENT FRT.FENDER LH</v>
          </cell>
          <cell r="F9" t="str">
            <v>BLK &amp; PIR</v>
          </cell>
          <cell r="G9">
            <v>2</v>
          </cell>
          <cell r="H9">
            <v>0.16300000000000001</v>
          </cell>
        </row>
        <row r="10">
          <cell r="A10" t="str">
            <v>21</v>
          </cell>
          <cell r="B10" t="str">
            <v>3016339</v>
          </cell>
          <cell r="C10" t="str">
            <v>0030</v>
          </cell>
          <cell r="D10" t="str">
            <v>3707</v>
          </cell>
          <cell r="E10" t="str">
            <v>ANGLE ATTACHMENT FRT.FENDER LH</v>
          </cell>
          <cell r="F10" t="str">
            <v>FORM</v>
          </cell>
          <cell r="G10">
            <v>2</v>
          </cell>
          <cell r="H10">
            <v>0.16300000000000001</v>
          </cell>
        </row>
        <row r="11">
          <cell r="A11" t="str">
            <v>21</v>
          </cell>
          <cell r="B11" t="str">
            <v>3016339</v>
          </cell>
          <cell r="C11" t="str">
            <v>0040</v>
          </cell>
          <cell r="D11" t="str">
            <v>3707</v>
          </cell>
          <cell r="E11" t="str">
            <v>ANGLE ATTACHMENT FRT.FENDER LH</v>
          </cell>
          <cell r="F11" t="str">
            <v>P/OFF</v>
          </cell>
          <cell r="G11">
            <v>2</v>
          </cell>
          <cell r="H11">
            <v>0.16300000000000001</v>
          </cell>
        </row>
        <row r="12">
          <cell r="A12" t="str">
            <v>21</v>
          </cell>
          <cell r="B12" t="str">
            <v>3016339</v>
          </cell>
          <cell r="C12" t="str">
            <v>0050</v>
          </cell>
          <cell r="D12" t="str">
            <v>3707</v>
          </cell>
          <cell r="E12" t="str">
            <v>ANGLE ATTACHMENT FRT.FENDER LH</v>
          </cell>
          <cell r="F12" t="str">
            <v>PIERCE</v>
          </cell>
          <cell r="G12">
            <v>3</v>
          </cell>
          <cell r="H12">
            <v>0.16300000000000001</v>
          </cell>
        </row>
        <row r="13">
          <cell r="A13" t="str">
            <v>21</v>
          </cell>
          <cell r="B13" t="str">
            <v>3018120</v>
          </cell>
          <cell r="C13" t="str">
            <v>0020</v>
          </cell>
          <cell r="D13" t="str">
            <v>3707</v>
          </cell>
          <cell r="E13" t="str">
            <v>BRKT.CENTRE MTG.FRT.BUMPER</v>
          </cell>
          <cell r="F13" t="str">
            <v>BLK &amp; PIR</v>
          </cell>
          <cell r="G13">
            <v>3</v>
          </cell>
          <cell r="H13">
            <v>0.16300000000000001</v>
          </cell>
        </row>
        <row r="14">
          <cell r="A14" t="str">
            <v>21</v>
          </cell>
          <cell r="B14" t="str">
            <v>3018120</v>
          </cell>
          <cell r="C14" t="str">
            <v>0030</v>
          </cell>
          <cell r="D14" t="str">
            <v>3707</v>
          </cell>
          <cell r="E14" t="str">
            <v>BRKT.CENTRE MTG.FRT.BUMPER</v>
          </cell>
          <cell r="F14" t="str">
            <v>FORM &amp; FLG.</v>
          </cell>
          <cell r="G14">
            <v>3</v>
          </cell>
          <cell r="H14">
            <v>0.16300000000000001</v>
          </cell>
        </row>
        <row r="15">
          <cell r="A15" t="str">
            <v>21</v>
          </cell>
          <cell r="B15" t="str">
            <v>3018402</v>
          </cell>
          <cell r="C15" t="str">
            <v>0030</v>
          </cell>
          <cell r="D15" t="str">
            <v>3707</v>
          </cell>
          <cell r="E15" t="str">
            <v>REINF.TOE BOARD RH.</v>
          </cell>
          <cell r="F15" t="str">
            <v>DRAW L/RH.</v>
          </cell>
          <cell r="G15">
            <v>2</v>
          </cell>
          <cell r="H15">
            <v>0.19600000000000001</v>
          </cell>
        </row>
        <row r="16">
          <cell r="A16" t="str">
            <v>21</v>
          </cell>
          <cell r="B16" t="str">
            <v>3018402</v>
          </cell>
          <cell r="C16" t="str">
            <v>0040</v>
          </cell>
          <cell r="D16" t="str">
            <v>3707</v>
          </cell>
          <cell r="E16" t="str">
            <v>REINF.TOE BOARD RH.</v>
          </cell>
          <cell r="F16" t="str">
            <v>WIPE UP</v>
          </cell>
          <cell r="G16">
            <v>2</v>
          </cell>
          <cell r="H16">
            <v>0.19600000000000001</v>
          </cell>
        </row>
        <row r="17">
          <cell r="A17" t="str">
            <v>21</v>
          </cell>
          <cell r="B17" t="str">
            <v>3018402</v>
          </cell>
          <cell r="C17" t="str">
            <v>0050</v>
          </cell>
          <cell r="D17" t="str">
            <v>3707</v>
          </cell>
          <cell r="E17" t="str">
            <v>REINF.TOE BOARD RH.</v>
          </cell>
          <cell r="F17" t="str">
            <v>FLANGE</v>
          </cell>
          <cell r="G17">
            <v>3</v>
          </cell>
          <cell r="H17">
            <v>0.19600000000000001</v>
          </cell>
        </row>
        <row r="18">
          <cell r="A18" t="str">
            <v>21</v>
          </cell>
          <cell r="B18" t="str">
            <v>3018402</v>
          </cell>
          <cell r="C18" t="str">
            <v>0060</v>
          </cell>
          <cell r="D18" t="str">
            <v>3707</v>
          </cell>
          <cell r="E18" t="str">
            <v>REINF.TOE BOARD RH.</v>
          </cell>
          <cell r="F18" t="str">
            <v>PIERCE</v>
          </cell>
          <cell r="G18">
            <v>2</v>
          </cell>
          <cell r="H18">
            <v>0.19600000000000001</v>
          </cell>
        </row>
        <row r="19">
          <cell r="A19" t="str">
            <v>21</v>
          </cell>
          <cell r="B19" t="str">
            <v>3018403</v>
          </cell>
          <cell r="C19" t="str">
            <v>0030</v>
          </cell>
          <cell r="D19" t="str">
            <v>3707</v>
          </cell>
          <cell r="E19" t="str">
            <v>REINF.TOE BOARD LH.</v>
          </cell>
          <cell r="F19" t="str">
            <v>DRAW L/RH.TOGE</v>
          </cell>
          <cell r="G19">
            <v>2</v>
          </cell>
          <cell r="H19">
            <v>0.19600000000000001</v>
          </cell>
        </row>
        <row r="20">
          <cell r="A20" t="str">
            <v>21</v>
          </cell>
          <cell r="B20" t="str">
            <v>3018403</v>
          </cell>
          <cell r="C20" t="str">
            <v>0040</v>
          </cell>
          <cell r="D20" t="str">
            <v>3707</v>
          </cell>
          <cell r="E20" t="str">
            <v>REINF.TOE BOARD LH.</v>
          </cell>
          <cell r="F20" t="str">
            <v>WIPE UP</v>
          </cell>
          <cell r="G20">
            <v>2</v>
          </cell>
          <cell r="H20">
            <v>0.19600000000000001</v>
          </cell>
        </row>
        <row r="21">
          <cell r="A21" t="str">
            <v>21</v>
          </cell>
          <cell r="B21" t="str">
            <v>3018403</v>
          </cell>
          <cell r="C21" t="str">
            <v>0050</v>
          </cell>
          <cell r="D21" t="str">
            <v>3707</v>
          </cell>
          <cell r="E21" t="str">
            <v>REINF.TOE BOARD LH.</v>
          </cell>
          <cell r="F21" t="str">
            <v>FLANGE</v>
          </cell>
          <cell r="G21">
            <v>3</v>
          </cell>
          <cell r="H21">
            <v>0.19600000000000001</v>
          </cell>
        </row>
        <row r="22">
          <cell r="A22" t="str">
            <v>21</v>
          </cell>
          <cell r="B22" t="str">
            <v>3018403</v>
          </cell>
          <cell r="C22" t="str">
            <v>0060</v>
          </cell>
          <cell r="D22" t="str">
            <v>3707</v>
          </cell>
          <cell r="E22" t="str">
            <v>REINF.TOE BOARD LH.</v>
          </cell>
          <cell r="F22" t="str">
            <v>PIERCE</v>
          </cell>
          <cell r="G22">
            <v>2</v>
          </cell>
          <cell r="H22">
            <v>0.19600000000000001</v>
          </cell>
        </row>
        <row r="23">
          <cell r="A23" t="str">
            <v>21</v>
          </cell>
          <cell r="B23" t="str">
            <v>4302106078</v>
          </cell>
          <cell r="C23" t="str">
            <v>0030</v>
          </cell>
          <cell r="D23" t="str">
            <v>3707</v>
          </cell>
          <cell r="E23" t="str">
            <v>MEMB. REINF.S/A BUMP.RUBBER RH</v>
          </cell>
          <cell r="F23" t="str">
            <v>DRAW</v>
          </cell>
          <cell r="G23">
            <v>3</v>
          </cell>
          <cell r="H23">
            <v>0.245</v>
          </cell>
        </row>
        <row r="24">
          <cell r="A24" t="str">
            <v>21</v>
          </cell>
          <cell r="B24" t="str">
            <v>4302106078</v>
          </cell>
          <cell r="C24" t="str">
            <v>0040</v>
          </cell>
          <cell r="D24" t="str">
            <v>3707</v>
          </cell>
          <cell r="E24" t="str">
            <v>MEMB. REINF.S/A BUMP.RUBBER RH</v>
          </cell>
          <cell r="F24" t="str">
            <v>RES</v>
          </cell>
          <cell r="G24">
            <v>2</v>
          </cell>
          <cell r="H24">
            <v>0.245</v>
          </cell>
        </row>
        <row r="25">
          <cell r="A25" t="str">
            <v>21</v>
          </cell>
          <cell r="B25" t="str">
            <v>4302106078</v>
          </cell>
          <cell r="C25" t="str">
            <v>0050</v>
          </cell>
          <cell r="D25" t="str">
            <v>3707</v>
          </cell>
          <cell r="E25" t="str">
            <v>MEMB. REINF.S/A BUMP.RUBBER RH</v>
          </cell>
          <cell r="F25" t="str">
            <v>CAM PIR</v>
          </cell>
          <cell r="G25">
            <v>2</v>
          </cell>
          <cell r="H25">
            <v>0.245</v>
          </cell>
        </row>
        <row r="26">
          <cell r="A26" t="str">
            <v>21</v>
          </cell>
          <cell r="B26" t="str">
            <v>4302106078</v>
          </cell>
          <cell r="C26" t="str">
            <v>0060</v>
          </cell>
          <cell r="D26" t="str">
            <v>3707</v>
          </cell>
          <cell r="E26" t="str">
            <v>MEMB. REINF.S/A BUMP.RUBBER RH</v>
          </cell>
          <cell r="F26" t="str">
            <v>NOTCH</v>
          </cell>
          <cell r="G26">
            <v>2</v>
          </cell>
          <cell r="H26">
            <v>0.245</v>
          </cell>
        </row>
        <row r="27">
          <cell r="A27" t="str">
            <v>21</v>
          </cell>
          <cell r="B27" t="str">
            <v>4302106078</v>
          </cell>
          <cell r="C27" t="str">
            <v>0070</v>
          </cell>
          <cell r="D27" t="str">
            <v>3707</v>
          </cell>
          <cell r="E27" t="str">
            <v>MEMB. REINF.S/A BUMP.RUBBER RH</v>
          </cell>
          <cell r="F27" t="str">
            <v>NOTCH</v>
          </cell>
          <cell r="G27">
            <v>2</v>
          </cell>
          <cell r="H27">
            <v>0.245</v>
          </cell>
        </row>
        <row r="28">
          <cell r="A28" t="str">
            <v>21</v>
          </cell>
          <cell r="B28" t="str">
            <v>4302106078</v>
          </cell>
          <cell r="C28" t="str">
            <v>0080</v>
          </cell>
          <cell r="D28" t="str">
            <v>3707</v>
          </cell>
          <cell r="E28" t="str">
            <v>MEMB. REINF.S/A BUMP.RUBBER RH</v>
          </cell>
          <cell r="F28" t="str">
            <v>FLG-2 STG.</v>
          </cell>
          <cell r="G28">
            <v>2</v>
          </cell>
          <cell r="H28">
            <v>0.245</v>
          </cell>
        </row>
        <row r="29">
          <cell r="A29" t="str">
            <v>21</v>
          </cell>
          <cell r="B29" t="str">
            <v>4302106079</v>
          </cell>
          <cell r="C29" t="str">
            <v>0030</v>
          </cell>
          <cell r="D29" t="str">
            <v>3707</v>
          </cell>
          <cell r="E29" t="str">
            <v>MEMB. REINF.S/A BUMP.RUBBER LH</v>
          </cell>
          <cell r="F29" t="str">
            <v>DRAW</v>
          </cell>
          <cell r="G29">
            <v>3</v>
          </cell>
          <cell r="H29">
            <v>0.245</v>
          </cell>
        </row>
        <row r="30">
          <cell r="A30" t="str">
            <v>21</v>
          </cell>
          <cell r="B30" t="str">
            <v>4302106079</v>
          </cell>
          <cell r="C30" t="str">
            <v>0040</v>
          </cell>
          <cell r="D30" t="str">
            <v>3707</v>
          </cell>
          <cell r="E30" t="str">
            <v>MEMB. REINF.S/A BUMP.RUBBER LH</v>
          </cell>
          <cell r="F30" t="str">
            <v>RES</v>
          </cell>
          <cell r="G30">
            <v>2</v>
          </cell>
          <cell r="H30">
            <v>0.245</v>
          </cell>
        </row>
        <row r="31">
          <cell r="A31" t="str">
            <v>21</v>
          </cell>
          <cell r="B31" t="str">
            <v>4302106079</v>
          </cell>
          <cell r="C31" t="str">
            <v>0050</v>
          </cell>
          <cell r="D31" t="str">
            <v>3707</v>
          </cell>
          <cell r="E31" t="str">
            <v>MEMB. REINF.S/A BUMP.RUBBER LH</v>
          </cell>
          <cell r="F31" t="str">
            <v>CAM PIR</v>
          </cell>
          <cell r="G31">
            <v>2</v>
          </cell>
          <cell r="H31">
            <v>0.245</v>
          </cell>
        </row>
        <row r="32">
          <cell r="A32" t="str">
            <v>21</v>
          </cell>
          <cell r="B32" t="str">
            <v>4302106079</v>
          </cell>
          <cell r="C32" t="str">
            <v>0060</v>
          </cell>
          <cell r="D32" t="str">
            <v>3707</v>
          </cell>
          <cell r="E32" t="str">
            <v>MEMB. REINF.S/A BUMP.RUBBER LH</v>
          </cell>
          <cell r="F32" t="str">
            <v>NOTCH</v>
          </cell>
          <cell r="G32">
            <v>2</v>
          </cell>
          <cell r="H32">
            <v>0.245</v>
          </cell>
        </row>
        <row r="33">
          <cell r="A33" t="str">
            <v>21</v>
          </cell>
          <cell r="B33" t="str">
            <v>4302106079</v>
          </cell>
          <cell r="C33" t="str">
            <v>0070</v>
          </cell>
          <cell r="D33" t="str">
            <v>3707</v>
          </cell>
          <cell r="E33" t="str">
            <v>MEMB. REINF.S/A BUMP.RUBBER LH</v>
          </cell>
          <cell r="F33" t="str">
            <v>NOTCH</v>
          </cell>
          <cell r="G33">
            <v>2</v>
          </cell>
          <cell r="H33">
            <v>0.245</v>
          </cell>
        </row>
        <row r="34">
          <cell r="A34" t="str">
            <v>21</v>
          </cell>
          <cell r="B34" t="str">
            <v>4302106079</v>
          </cell>
          <cell r="C34" t="str">
            <v>0080</v>
          </cell>
          <cell r="D34" t="str">
            <v>3707</v>
          </cell>
          <cell r="E34" t="str">
            <v>MEMB. REINF.S/A BUMP.RUBBER LH</v>
          </cell>
          <cell r="F34" t="str">
            <v>FLG-2ND STG</v>
          </cell>
          <cell r="G34">
            <v>2</v>
          </cell>
          <cell r="H34">
            <v>0.245</v>
          </cell>
        </row>
        <row r="35">
          <cell r="A35" t="str">
            <v>21</v>
          </cell>
          <cell r="B35" t="str">
            <v>3025294</v>
          </cell>
          <cell r="C35" t="str">
            <v>0050</v>
          </cell>
          <cell r="D35" t="str">
            <v>3707</v>
          </cell>
          <cell r="E35" t="str">
            <v>FAN &amp; WATER PUMP PULLEY</v>
          </cell>
          <cell r="F35" t="str">
            <v>FLG &amp; RES</v>
          </cell>
          <cell r="G35">
            <v>2</v>
          </cell>
          <cell r="H35">
            <v>0.18</v>
          </cell>
        </row>
        <row r="36">
          <cell r="A36" t="str">
            <v>PTL21</v>
          </cell>
          <cell r="B36" t="str">
            <v>3037156</v>
          </cell>
          <cell r="C36" t="str">
            <v>0050</v>
          </cell>
          <cell r="D36" t="str">
            <v>3707</v>
          </cell>
          <cell r="E36" t="str">
            <v>CYLINDER SIDE COVER PLAIN</v>
          </cell>
          <cell r="F36" t="str">
            <v>TR.&amp; PIR 1 HOL</v>
          </cell>
          <cell r="G36">
            <v>2</v>
          </cell>
          <cell r="H36">
            <v>0.13600000000000001</v>
          </cell>
        </row>
        <row r="37">
          <cell r="A37" t="str">
            <v>21</v>
          </cell>
          <cell r="B37" t="str">
            <v>3039061</v>
          </cell>
          <cell r="C37" t="str">
            <v>0030</v>
          </cell>
          <cell r="D37" t="str">
            <v>3707</v>
          </cell>
          <cell r="E37" t="str">
            <v>CRANK CASE FRONT COV.</v>
          </cell>
          <cell r="F37" t="str">
            <v>DRAW</v>
          </cell>
          <cell r="G37">
            <v>2</v>
          </cell>
          <cell r="H37">
            <v>0.217</v>
          </cell>
        </row>
        <row r="38">
          <cell r="A38" t="str">
            <v>21</v>
          </cell>
          <cell r="B38" t="str">
            <v>3039061</v>
          </cell>
          <cell r="C38" t="str">
            <v>0040</v>
          </cell>
          <cell r="D38" t="str">
            <v>3707</v>
          </cell>
          <cell r="E38" t="str">
            <v>CRANK CASE FRONT COV.</v>
          </cell>
          <cell r="F38" t="str">
            <v>PIERCE</v>
          </cell>
          <cell r="G38">
            <v>2</v>
          </cell>
          <cell r="H38">
            <v>0.217</v>
          </cell>
        </row>
        <row r="39">
          <cell r="A39" t="str">
            <v>21</v>
          </cell>
          <cell r="B39" t="str">
            <v>3039061</v>
          </cell>
          <cell r="C39" t="str">
            <v>0050</v>
          </cell>
          <cell r="D39" t="str">
            <v>3707</v>
          </cell>
          <cell r="E39" t="str">
            <v>CRANK CASE FRONT COV.</v>
          </cell>
          <cell r="F39" t="str">
            <v>EMBOSS</v>
          </cell>
          <cell r="G39">
            <v>2</v>
          </cell>
          <cell r="H39">
            <v>0.217</v>
          </cell>
        </row>
        <row r="40">
          <cell r="A40" t="str">
            <v>21</v>
          </cell>
          <cell r="B40" t="str">
            <v>3039061</v>
          </cell>
          <cell r="C40" t="str">
            <v>0060</v>
          </cell>
          <cell r="D40" t="str">
            <v>3707</v>
          </cell>
          <cell r="E40" t="str">
            <v>CRANK CASE FRONT COV.</v>
          </cell>
          <cell r="F40" t="str">
            <v>TRIM</v>
          </cell>
          <cell r="G40">
            <v>2</v>
          </cell>
          <cell r="H40">
            <v>0.217</v>
          </cell>
        </row>
        <row r="41">
          <cell r="A41" t="str">
            <v>21</v>
          </cell>
          <cell r="B41" t="str">
            <v>3039061</v>
          </cell>
          <cell r="C41" t="str">
            <v>0070</v>
          </cell>
          <cell r="D41" t="str">
            <v>3707</v>
          </cell>
          <cell r="E41" t="str">
            <v>CRANK CASE FRONT COV.</v>
          </cell>
          <cell r="F41" t="str">
            <v>FLANGE</v>
          </cell>
          <cell r="G41">
            <v>2</v>
          </cell>
          <cell r="H41">
            <v>0.217</v>
          </cell>
        </row>
        <row r="42">
          <cell r="A42" t="str">
            <v>21</v>
          </cell>
          <cell r="B42" t="str">
            <v>3039061</v>
          </cell>
          <cell r="C42" t="str">
            <v>0080</v>
          </cell>
          <cell r="D42" t="str">
            <v>3707</v>
          </cell>
          <cell r="E42" t="str">
            <v>CRANK CASE FRONT COV.</v>
          </cell>
          <cell r="F42" t="str">
            <v>PIR 6 HOLES</v>
          </cell>
          <cell r="G42">
            <v>2</v>
          </cell>
          <cell r="H42">
            <v>0.217</v>
          </cell>
        </row>
        <row r="43">
          <cell r="A43" t="str">
            <v>21</v>
          </cell>
          <cell r="B43" t="str">
            <v>3039061</v>
          </cell>
          <cell r="C43" t="str">
            <v>0090</v>
          </cell>
          <cell r="D43" t="str">
            <v>3707</v>
          </cell>
          <cell r="E43" t="str">
            <v>CRANK CASE FRONT COV.</v>
          </cell>
          <cell r="F43" t="str">
            <v>COIN</v>
          </cell>
          <cell r="G43">
            <v>2</v>
          </cell>
          <cell r="H43">
            <v>0.217</v>
          </cell>
        </row>
        <row r="44">
          <cell r="A44" t="str">
            <v>21</v>
          </cell>
          <cell r="B44" t="str">
            <v>4301016052</v>
          </cell>
          <cell r="C44" t="str">
            <v>0020</v>
          </cell>
          <cell r="D44" t="str">
            <v>3707</v>
          </cell>
          <cell r="E44" t="str">
            <v>SHACKLE BRKT.</v>
          </cell>
          <cell r="F44" t="str">
            <v>BLK</v>
          </cell>
          <cell r="G44">
            <v>3</v>
          </cell>
          <cell r="H44">
            <v>0.245</v>
          </cell>
        </row>
        <row r="45">
          <cell r="A45" t="str">
            <v>21</v>
          </cell>
          <cell r="B45" t="str">
            <v>4301016052</v>
          </cell>
          <cell r="C45" t="str">
            <v>0030</v>
          </cell>
          <cell r="D45" t="str">
            <v>3707</v>
          </cell>
          <cell r="E45" t="str">
            <v>SHACKLE BRKT.</v>
          </cell>
          <cell r="F45" t="str">
            <v>PIERCE(DOUBLE)</v>
          </cell>
          <cell r="G45">
            <v>2</v>
          </cell>
          <cell r="H45">
            <v>0.245</v>
          </cell>
        </row>
        <row r="46">
          <cell r="A46" t="str">
            <v>21</v>
          </cell>
          <cell r="B46" t="str">
            <v>4301016052</v>
          </cell>
          <cell r="C46" t="str">
            <v>0040</v>
          </cell>
          <cell r="D46" t="str">
            <v>3707</v>
          </cell>
          <cell r="E46" t="str">
            <v>SHACKLE BRKT.</v>
          </cell>
          <cell r="F46" t="str">
            <v>1ST FORM(DOUB)</v>
          </cell>
          <cell r="G46">
            <v>2</v>
          </cell>
          <cell r="H46">
            <v>0.19600000000000001</v>
          </cell>
        </row>
        <row r="47">
          <cell r="A47" t="str">
            <v>21</v>
          </cell>
          <cell r="B47" t="str">
            <v>4301016052</v>
          </cell>
          <cell r="C47" t="str">
            <v>0050</v>
          </cell>
          <cell r="D47" t="str">
            <v>3707</v>
          </cell>
          <cell r="E47" t="str">
            <v>SHACKLE BRKT.</v>
          </cell>
          <cell r="F47" t="str">
            <v>2ND FORM(DOUB)</v>
          </cell>
          <cell r="G47">
            <v>2</v>
          </cell>
          <cell r="H47">
            <v>0.19600000000000001</v>
          </cell>
        </row>
        <row r="48">
          <cell r="A48" t="str">
            <v>21</v>
          </cell>
          <cell r="B48" t="str">
            <v>4301016052</v>
          </cell>
          <cell r="C48" t="str">
            <v>0060</v>
          </cell>
          <cell r="D48" t="str">
            <v>3707</v>
          </cell>
          <cell r="E48" t="str">
            <v>SHACKLE BRKT.</v>
          </cell>
          <cell r="F48" t="str">
            <v>RESTRIKE(DOUB)</v>
          </cell>
          <cell r="G48">
            <v>3</v>
          </cell>
          <cell r="H48">
            <v>0.19600000000000001</v>
          </cell>
        </row>
        <row r="49">
          <cell r="A49" t="str">
            <v>21</v>
          </cell>
          <cell r="B49" t="str">
            <v>4301016053</v>
          </cell>
          <cell r="C49" t="str">
            <v>0030</v>
          </cell>
          <cell r="D49" t="str">
            <v>3707</v>
          </cell>
          <cell r="E49" t="str">
            <v>REINF.BRKT.FRT.RR.SPRING</v>
          </cell>
          <cell r="F49" t="str">
            <v>DRAW</v>
          </cell>
          <cell r="G49">
            <v>2</v>
          </cell>
          <cell r="H49">
            <v>0.18</v>
          </cell>
        </row>
        <row r="50">
          <cell r="A50" t="str">
            <v>21</v>
          </cell>
          <cell r="B50" t="str">
            <v>4301016053</v>
          </cell>
          <cell r="C50" t="str">
            <v>0040</v>
          </cell>
          <cell r="D50" t="str">
            <v>3707</v>
          </cell>
          <cell r="E50" t="str">
            <v>REINF.BRKT.FRT.RR.SPRING</v>
          </cell>
          <cell r="F50" t="str">
            <v>TRIM</v>
          </cell>
          <cell r="G50">
            <v>2</v>
          </cell>
          <cell r="H50">
            <v>0.18</v>
          </cell>
        </row>
        <row r="51">
          <cell r="A51" t="str">
            <v>21</v>
          </cell>
          <cell r="B51" t="str">
            <v>4301016053</v>
          </cell>
          <cell r="C51" t="str">
            <v>0050</v>
          </cell>
          <cell r="D51" t="str">
            <v>3707</v>
          </cell>
          <cell r="E51" t="str">
            <v>REINF.BRKT.FRT.RR.SPRING</v>
          </cell>
          <cell r="F51" t="str">
            <v>FORM</v>
          </cell>
          <cell r="G51">
            <v>2</v>
          </cell>
          <cell r="H51">
            <v>0.18</v>
          </cell>
        </row>
        <row r="52">
          <cell r="A52" t="str">
            <v>21</v>
          </cell>
          <cell r="B52" t="str">
            <v>4301016053</v>
          </cell>
          <cell r="C52" t="str">
            <v>0060</v>
          </cell>
          <cell r="D52" t="str">
            <v>3707</v>
          </cell>
          <cell r="E52" t="str">
            <v>REINF.BRKT.FRT.RR.SPRING</v>
          </cell>
          <cell r="F52" t="str">
            <v>FLG &amp; RES</v>
          </cell>
          <cell r="G52">
            <v>2</v>
          </cell>
          <cell r="H52">
            <v>0.18</v>
          </cell>
        </row>
        <row r="53">
          <cell r="A53" t="str">
            <v>21</v>
          </cell>
          <cell r="B53" t="str">
            <v>4301016054</v>
          </cell>
          <cell r="C53" t="str">
            <v>0030</v>
          </cell>
          <cell r="D53" t="str">
            <v>3707</v>
          </cell>
          <cell r="E53" t="str">
            <v>REINF.BRKT.FRT.RR.SPRING</v>
          </cell>
          <cell r="F53" t="str">
            <v>DRAW</v>
          </cell>
          <cell r="G53">
            <v>2</v>
          </cell>
          <cell r="H53">
            <v>0.18</v>
          </cell>
        </row>
        <row r="54">
          <cell r="A54" t="str">
            <v>21</v>
          </cell>
          <cell r="B54" t="str">
            <v>4301016054</v>
          </cell>
          <cell r="C54" t="str">
            <v>0040</v>
          </cell>
          <cell r="D54" t="str">
            <v>3707</v>
          </cell>
          <cell r="E54" t="str">
            <v>REINF.BRKT.FRT.RR.SPRING</v>
          </cell>
          <cell r="F54" t="str">
            <v>TRIM</v>
          </cell>
          <cell r="G54">
            <v>2</v>
          </cell>
          <cell r="H54">
            <v>0.18</v>
          </cell>
        </row>
        <row r="55">
          <cell r="A55" t="str">
            <v>21</v>
          </cell>
          <cell r="B55" t="str">
            <v>4301016054</v>
          </cell>
          <cell r="C55" t="str">
            <v>0050</v>
          </cell>
          <cell r="D55" t="str">
            <v>3707</v>
          </cell>
          <cell r="E55" t="str">
            <v>REINF.BRKT.FRT.RR.SPRING</v>
          </cell>
          <cell r="F55" t="str">
            <v>FORM</v>
          </cell>
          <cell r="G55">
            <v>2</v>
          </cell>
          <cell r="H55">
            <v>0.18</v>
          </cell>
        </row>
        <row r="56">
          <cell r="A56" t="str">
            <v>21</v>
          </cell>
          <cell r="B56" t="str">
            <v>4301016054</v>
          </cell>
          <cell r="C56" t="str">
            <v>0060</v>
          </cell>
          <cell r="D56" t="str">
            <v>3707</v>
          </cell>
          <cell r="E56" t="str">
            <v>REINF.BRKT.FRT.RR.SPRING</v>
          </cell>
          <cell r="F56" t="str">
            <v>FLG &amp; RES</v>
          </cell>
          <cell r="G56">
            <v>2</v>
          </cell>
          <cell r="H56">
            <v>0.18</v>
          </cell>
        </row>
        <row r="57">
          <cell r="A57" t="str">
            <v>21R</v>
          </cell>
          <cell r="B57" t="str">
            <v>8854113</v>
          </cell>
          <cell r="C57" t="str">
            <v>0030</v>
          </cell>
          <cell r="D57" t="str">
            <v>3707</v>
          </cell>
          <cell r="E57" t="str">
            <v>BRKT. HAND BRAKE MTG.</v>
          </cell>
          <cell r="F57" t="str">
            <v>1ST DRAW</v>
          </cell>
          <cell r="G57">
            <v>2</v>
          </cell>
          <cell r="H57">
            <v>0.16300000000000001</v>
          </cell>
        </row>
        <row r="58">
          <cell r="A58" t="str">
            <v>21R</v>
          </cell>
          <cell r="B58" t="str">
            <v>8854113</v>
          </cell>
          <cell r="C58" t="str">
            <v>0040</v>
          </cell>
          <cell r="D58" t="str">
            <v>3707</v>
          </cell>
          <cell r="E58" t="str">
            <v>BRKT. HAND BRAKE MTG.</v>
          </cell>
          <cell r="F58" t="str">
            <v>2ND DRAW</v>
          </cell>
          <cell r="G58">
            <v>2</v>
          </cell>
          <cell r="H58">
            <v>0.16300000000000001</v>
          </cell>
        </row>
        <row r="59">
          <cell r="A59" t="str">
            <v>21R</v>
          </cell>
          <cell r="B59" t="str">
            <v>8854113</v>
          </cell>
          <cell r="C59" t="str">
            <v>0050</v>
          </cell>
          <cell r="D59" t="str">
            <v>3707</v>
          </cell>
          <cell r="E59" t="str">
            <v>BRKT. HAND BRAKE MTG.</v>
          </cell>
          <cell r="F59" t="str">
            <v>RESTRIKE</v>
          </cell>
          <cell r="G59">
            <v>2</v>
          </cell>
          <cell r="H59">
            <v>0.16300000000000001</v>
          </cell>
        </row>
        <row r="60">
          <cell r="A60" t="str">
            <v>21R</v>
          </cell>
          <cell r="B60" t="str">
            <v>8854113</v>
          </cell>
          <cell r="C60" t="str">
            <v>0060</v>
          </cell>
          <cell r="D60" t="str">
            <v>3707</v>
          </cell>
          <cell r="E60" t="str">
            <v>BRKT. HAND BRAKE MTG.</v>
          </cell>
          <cell r="F60" t="str">
            <v>PIERCE</v>
          </cell>
          <cell r="G60">
            <v>2</v>
          </cell>
          <cell r="H60">
            <v>0.16300000000000001</v>
          </cell>
        </row>
        <row r="61">
          <cell r="A61" t="str">
            <v>21</v>
          </cell>
          <cell r="B61" t="str">
            <v>4302106078</v>
          </cell>
          <cell r="C61" t="str">
            <v>0045</v>
          </cell>
          <cell r="D61" t="str">
            <v>3707</v>
          </cell>
          <cell r="E61" t="str">
            <v>MEMB. REINF.S/A BUMP.RUBBER RH</v>
          </cell>
          <cell r="F61" t="str">
            <v>TRIM</v>
          </cell>
          <cell r="G61">
            <v>2</v>
          </cell>
          <cell r="H61">
            <v>0.245</v>
          </cell>
        </row>
        <row r="62">
          <cell r="A62" t="str">
            <v>21</v>
          </cell>
          <cell r="B62" t="str">
            <v>4302106078</v>
          </cell>
          <cell r="C62" t="str">
            <v>0075</v>
          </cell>
          <cell r="D62" t="str">
            <v>3707</v>
          </cell>
          <cell r="E62" t="str">
            <v>MEMB. REINF.S/A BUMP.RUBBER RH</v>
          </cell>
          <cell r="F62" t="str">
            <v>WIPE UP</v>
          </cell>
          <cell r="G62">
            <v>2</v>
          </cell>
          <cell r="H62">
            <v>0.245</v>
          </cell>
        </row>
        <row r="63">
          <cell r="A63" t="str">
            <v>21</v>
          </cell>
          <cell r="B63" t="str">
            <v>4302106079</v>
          </cell>
          <cell r="C63" t="str">
            <v>0075</v>
          </cell>
          <cell r="D63" t="str">
            <v>3707</v>
          </cell>
          <cell r="E63" t="str">
            <v>MEMB. REINF.S/A BUMP.RUBBER LH</v>
          </cell>
          <cell r="F63" t="str">
            <v>WIPE UP</v>
          </cell>
          <cell r="G63">
            <v>2</v>
          </cell>
          <cell r="H63">
            <v>0.245</v>
          </cell>
        </row>
        <row r="64">
          <cell r="A64" t="str">
            <v>21</v>
          </cell>
          <cell r="B64" t="str">
            <v>4302106079</v>
          </cell>
          <cell r="C64" t="str">
            <v>0045</v>
          </cell>
          <cell r="D64" t="str">
            <v>3707</v>
          </cell>
          <cell r="E64" t="str">
            <v>MEMB. REINF.S/A BUMP.RUBBER LH</v>
          </cell>
          <cell r="F64" t="str">
            <v>TRIM</v>
          </cell>
          <cell r="G64">
            <v>2</v>
          </cell>
          <cell r="H64">
            <v>0.245</v>
          </cell>
        </row>
        <row r="65">
          <cell r="A65" t="str">
            <v>21</v>
          </cell>
          <cell r="B65" t="str">
            <v>3025294</v>
          </cell>
          <cell r="C65" t="str">
            <v>0020</v>
          </cell>
          <cell r="D65" t="str">
            <v>3707</v>
          </cell>
          <cell r="E65" t="str">
            <v>FAN &amp; WATER PUMP PULLEY</v>
          </cell>
          <cell r="F65" t="str">
            <v>BLK &amp; DRAW</v>
          </cell>
          <cell r="G65">
            <v>2</v>
          </cell>
          <cell r="H65">
            <v>0.21</v>
          </cell>
        </row>
        <row r="66">
          <cell r="A66" t="str">
            <v>21</v>
          </cell>
          <cell r="B66" t="str">
            <v>3025294</v>
          </cell>
          <cell r="C66" t="str">
            <v>0030</v>
          </cell>
          <cell r="D66" t="str">
            <v>3707</v>
          </cell>
          <cell r="E66" t="str">
            <v>FAN &amp; WATER PUMP PULLEY</v>
          </cell>
          <cell r="F66" t="str">
            <v>RE-DRAW</v>
          </cell>
          <cell r="G66">
            <v>2</v>
          </cell>
          <cell r="H66">
            <v>0.18</v>
          </cell>
        </row>
        <row r="67">
          <cell r="A67" t="str">
            <v>PTL21</v>
          </cell>
          <cell r="B67" t="str">
            <v>3037156</v>
          </cell>
          <cell r="C67" t="str">
            <v>0060</v>
          </cell>
          <cell r="D67" t="str">
            <v>3707</v>
          </cell>
          <cell r="E67" t="str">
            <v>CYLINDER SIDE COVER PLAIN</v>
          </cell>
          <cell r="F67" t="str">
            <v>FLG.</v>
          </cell>
          <cell r="G67">
            <v>2</v>
          </cell>
          <cell r="H67">
            <v>0.13600000000000001</v>
          </cell>
        </row>
        <row r="68">
          <cell r="A68" t="str">
            <v>PTL21</v>
          </cell>
          <cell r="B68" t="str">
            <v>3037273</v>
          </cell>
          <cell r="C68" t="str">
            <v>0060</v>
          </cell>
          <cell r="D68" t="str">
            <v>3707</v>
          </cell>
          <cell r="E68" t="str">
            <v>CYLINDER SIDE COVER</v>
          </cell>
          <cell r="F68" t="str">
            <v>FLG</v>
          </cell>
          <cell r="G68">
            <v>2</v>
          </cell>
          <cell r="H68">
            <v>0.13600000000000001</v>
          </cell>
        </row>
        <row r="69">
          <cell r="A69" t="str">
            <v>ISZ21</v>
          </cell>
          <cell r="B69" t="str">
            <v>4301016028A</v>
          </cell>
          <cell r="C69" t="str">
            <v>0050</v>
          </cell>
          <cell r="D69" t="str">
            <v>3707</v>
          </cell>
          <cell r="E69" t="str">
            <v>CAP ISZ G/BOX COVER</v>
          </cell>
          <cell r="F69" t="str">
            <v>DRAW</v>
          </cell>
          <cell r="G69">
            <v>2</v>
          </cell>
          <cell r="H69">
            <v>0.16300000000000001</v>
          </cell>
        </row>
        <row r="70">
          <cell r="A70" t="str">
            <v>ISZ21</v>
          </cell>
          <cell r="B70" t="str">
            <v>4301016028A</v>
          </cell>
          <cell r="C70" t="str">
            <v>0060</v>
          </cell>
          <cell r="D70" t="str">
            <v>3707</v>
          </cell>
          <cell r="E70" t="str">
            <v>CAP ISZ G/BOX COVER</v>
          </cell>
          <cell r="F70" t="str">
            <v>PIR</v>
          </cell>
          <cell r="G70">
            <v>2</v>
          </cell>
          <cell r="H70">
            <v>0.16300000000000001</v>
          </cell>
        </row>
        <row r="71">
          <cell r="A71" t="str">
            <v>21</v>
          </cell>
          <cell r="B71" t="str">
            <v>3018402</v>
          </cell>
          <cell r="C71" t="str">
            <v>0080</v>
          </cell>
          <cell r="D71" t="str">
            <v>3707</v>
          </cell>
          <cell r="E71" t="str">
            <v>REINF.TOE BOARD RH.</v>
          </cell>
          <cell r="F71" t="str">
            <v>F/RES.2 STAGE</v>
          </cell>
          <cell r="G71">
            <v>2</v>
          </cell>
          <cell r="H71">
            <v>0.21</v>
          </cell>
        </row>
        <row r="72">
          <cell r="A72" t="str">
            <v>21</v>
          </cell>
          <cell r="B72" t="str">
            <v>3018403</v>
          </cell>
          <cell r="C72" t="str">
            <v>0080</v>
          </cell>
          <cell r="D72" t="str">
            <v>3707</v>
          </cell>
          <cell r="E72" t="str">
            <v>REINF.TOE BOARD LH.</v>
          </cell>
          <cell r="F72" t="str">
            <v>F/RES.2 STAGE</v>
          </cell>
          <cell r="G72">
            <v>2</v>
          </cell>
          <cell r="H72">
            <v>0.21</v>
          </cell>
        </row>
        <row r="73">
          <cell r="A73" t="str">
            <v>21</v>
          </cell>
          <cell r="B73" t="str">
            <v>4302106112</v>
          </cell>
          <cell r="C73" t="str">
            <v>0030</v>
          </cell>
          <cell r="D73" t="str">
            <v>3707</v>
          </cell>
          <cell r="E73" t="str">
            <v>BATTERY CRADLE</v>
          </cell>
          <cell r="F73" t="str">
            <v>EMBOSS &amp; PIR</v>
          </cell>
          <cell r="G73">
            <v>2</v>
          </cell>
          <cell r="H73">
            <v>0.14000000000000001</v>
          </cell>
        </row>
        <row r="74">
          <cell r="A74" t="str">
            <v>21</v>
          </cell>
          <cell r="B74" t="str">
            <v>F3016019</v>
          </cell>
          <cell r="C74" t="str">
            <v>0040</v>
          </cell>
          <cell r="D74" t="str">
            <v>3707</v>
          </cell>
          <cell r="E74" t="str">
            <v>BATTERY CRADLE</v>
          </cell>
          <cell r="F74" t="str">
            <v>TRIM &amp; PIR</v>
          </cell>
          <cell r="G74">
            <v>2</v>
          </cell>
          <cell r="H74">
            <v>0.16</v>
          </cell>
        </row>
        <row r="75">
          <cell r="A75" t="str">
            <v>21</v>
          </cell>
          <cell r="B75" t="str">
            <v>4302106112</v>
          </cell>
          <cell r="C75" t="str">
            <v>0050</v>
          </cell>
          <cell r="D75" t="str">
            <v>3707</v>
          </cell>
          <cell r="E75" t="str">
            <v>BATTERY CRADLE</v>
          </cell>
          <cell r="F75" t="str">
            <v>FLANG &amp; RES.</v>
          </cell>
          <cell r="G75">
            <v>2</v>
          </cell>
          <cell r="H75">
            <v>0.18</v>
          </cell>
        </row>
        <row r="76">
          <cell r="A76" t="str">
            <v>21</v>
          </cell>
          <cell r="B76" t="str">
            <v>3018413</v>
          </cell>
          <cell r="C76" t="str">
            <v>0040</v>
          </cell>
          <cell r="D76" t="str">
            <v>3707</v>
          </cell>
          <cell r="E76" t="str">
            <v>CROSS MEMB.DASH LOWER</v>
          </cell>
          <cell r="F76" t="str">
            <v>FORM</v>
          </cell>
          <cell r="G76">
            <v>2</v>
          </cell>
          <cell r="H76">
            <v>0.17</v>
          </cell>
        </row>
        <row r="77">
          <cell r="A77" t="str">
            <v>21</v>
          </cell>
          <cell r="B77" t="str">
            <v>3018413</v>
          </cell>
          <cell r="C77" t="str">
            <v>0030</v>
          </cell>
          <cell r="D77" t="str">
            <v>3707</v>
          </cell>
          <cell r="E77" t="str">
            <v>CROSS MEMB.DASH LOWER</v>
          </cell>
          <cell r="F77" t="str">
            <v>BLANK &amp; PIERCE</v>
          </cell>
          <cell r="G77">
            <v>2</v>
          </cell>
          <cell r="H77">
            <v>0.2</v>
          </cell>
        </row>
        <row r="78">
          <cell r="A78" t="str">
            <v>21</v>
          </cell>
          <cell r="B78" t="str">
            <v>3018088</v>
          </cell>
          <cell r="C78" t="str">
            <v>0040</v>
          </cell>
          <cell r="D78" t="str">
            <v>3707</v>
          </cell>
          <cell r="E78" t="str">
            <v>PLATE TOP SUPT.RH.</v>
          </cell>
          <cell r="F78" t="str">
            <v>FORM RH &amp; LH.</v>
          </cell>
          <cell r="G78">
            <v>2</v>
          </cell>
          <cell r="H78">
            <v>0.14000000000000001</v>
          </cell>
        </row>
        <row r="79">
          <cell r="A79" t="str">
            <v>21</v>
          </cell>
          <cell r="B79" t="str">
            <v>3018088</v>
          </cell>
          <cell r="C79" t="str">
            <v>0030</v>
          </cell>
          <cell r="D79" t="str">
            <v>3707</v>
          </cell>
          <cell r="E79" t="str">
            <v>PLATE TOP SUPT.RH.</v>
          </cell>
          <cell r="F79" t="str">
            <v>BLANK</v>
          </cell>
          <cell r="G79">
            <v>2</v>
          </cell>
          <cell r="H79">
            <v>0.17</v>
          </cell>
        </row>
        <row r="80">
          <cell r="A80" t="str">
            <v>21</v>
          </cell>
          <cell r="B80" t="str">
            <v>3018089</v>
          </cell>
          <cell r="C80" t="str">
            <v>0030</v>
          </cell>
          <cell r="D80" t="str">
            <v>3707</v>
          </cell>
          <cell r="E80" t="str">
            <v>PLATE TOP SUPT.LH.</v>
          </cell>
          <cell r="F80" t="str">
            <v>BLANK</v>
          </cell>
          <cell r="G80">
            <v>2</v>
          </cell>
          <cell r="H80">
            <v>0.17</v>
          </cell>
        </row>
        <row r="81">
          <cell r="A81" t="str">
            <v>21</v>
          </cell>
          <cell r="B81" t="str">
            <v>3018089</v>
          </cell>
          <cell r="C81" t="str">
            <v>0040</v>
          </cell>
          <cell r="D81" t="str">
            <v>3707</v>
          </cell>
          <cell r="E81" t="str">
            <v>PLATE TOP SUPT.LH.</v>
          </cell>
          <cell r="F81" t="str">
            <v>FORM RH &amp; LH.</v>
          </cell>
          <cell r="G81">
            <v>2</v>
          </cell>
          <cell r="H81">
            <v>0.14000000000000001</v>
          </cell>
        </row>
        <row r="82">
          <cell r="A82" t="str">
            <v>21</v>
          </cell>
          <cell r="B82" t="str">
            <v>3018286</v>
          </cell>
          <cell r="C82" t="str">
            <v>0040</v>
          </cell>
          <cell r="D82" t="str">
            <v>3707</v>
          </cell>
          <cell r="E82" t="str">
            <v>PANEL TOE BOARD RH.</v>
          </cell>
          <cell r="F82" t="str">
            <v>FORM R/LH.TOGE</v>
          </cell>
          <cell r="G82">
            <v>2</v>
          </cell>
          <cell r="H82">
            <v>0.16</v>
          </cell>
        </row>
        <row r="83">
          <cell r="A83" t="str">
            <v>21</v>
          </cell>
          <cell r="B83" t="str">
            <v>3018287</v>
          </cell>
          <cell r="C83" t="str">
            <v>0040</v>
          </cell>
          <cell r="D83" t="str">
            <v>3707</v>
          </cell>
          <cell r="E83" t="str">
            <v>PANEL TOE BOARD LH.</v>
          </cell>
          <cell r="F83" t="str">
            <v>FORM R/LH.TOGE</v>
          </cell>
          <cell r="G83">
            <v>2</v>
          </cell>
          <cell r="H83">
            <v>0.16</v>
          </cell>
        </row>
        <row r="84">
          <cell r="A84" t="str">
            <v>21</v>
          </cell>
          <cell r="B84" t="str">
            <v>3018286</v>
          </cell>
          <cell r="C84" t="str">
            <v>0050</v>
          </cell>
          <cell r="D84" t="str">
            <v>3707</v>
          </cell>
          <cell r="E84" t="str">
            <v>PANEL TOE BOARD RH.</v>
          </cell>
          <cell r="F84" t="str">
            <v>FLANGE ONE END</v>
          </cell>
          <cell r="G84">
            <v>2</v>
          </cell>
          <cell r="H84">
            <v>0.16</v>
          </cell>
        </row>
        <row r="85">
          <cell r="A85" t="str">
            <v>21</v>
          </cell>
          <cell r="B85" t="str">
            <v>3018287</v>
          </cell>
          <cell r="C85" t="str">
            <v>0050</v>
          </cell>
          <cell r="D85" t="str">
            <v>3707</v>
          </cell>
          <cell r="E85" t="str">
            <v>PANEL TOE BOARD LH.</v>
          </cell>
          <cell r="F85" t="str">
            <v>FLANGE ONE END</v>
          </cell>
          <cell r="G85">
            <v>2</v>
          </cell>
          <cell r="H85">
            <v>0.16</v>
          </cell>
        </row>
        <row r="86">
          <cell r="A86" t="str">
            <v>21</v>
          </cell>
          <cell r="B86" t="str">
            <v>3016018</v>
          </cell>
          <cell r="C86" t="str">
            <v>0040</v>
          </cell>
          <cell r="D86" t="str">
            <v>3707</v>
          </cell>
          <cell r="E86" t="str">
            <v>REINF.SIDE FLOOR TO TONNEAU</v>
          </cell>
          <cell r="F86" t="str">
            <v>TRIM,NOTCH,PIR</v>
          </cell>
          <cell r="G86">
            <v>2</v>
          </cell>
          <cell r="H86">
            <v>0.17</v>
          </cell>
        </row>
        <row r="87">
          <cell r="A87" t="str">
            <v>21</v>
          </cell>
          <cell r="B87" t="str">
            <v>3016019</v>
          </cell>
          <cell r="C87" t="str">
            <v>0040</v>
          </cell>
          <cell r="D87" t="str">
            <v>3707</v>
          </cell>
          <cell r="E87" t="str">
            <v>REINF.SIDE FLOOR TO TONNEAU</v>
          </cell>
          <cell r="F87" t="str">
            <v>TRIM,NOTCH,PIR</v>
          </cell>
          <cell r="G87">
            <v>2</v>
          </cell>
          <cell r="H87">
            <v>0.17</v>
          </cell>
        </row>
        <row r="88">
          <cell r="A88" t="str">
            <v>21</v>
          </cell>
          <cell r="B88" t="str">
            <v>3016018</v>
          </cell>
          <cell r="C88" t="str">
            <v>0030</v>
          </cell>
          <cell r="D88" t="str">
            <v>3707</v>
          </cell>
          <cell r="E88" t="str">
            <v>REINF.SIDE FLOOR TO TONNEAU</v>
          </cell>
          <cell r="F88" t="str">
            <v>DRAW &amp; PIR.</v>
          </cell>
          <cell r="G88">
            <v>2</v>
          </cell>
          <cell r="H88">
            <v>0.15</v>
          </cell>
        </row>
        <row r="89">
          <cell r="A89" t="str">
            <v>21</v>
          </cell>
          <cell r="B89" t="str">
            <v>3016019</v>
          </cell>
          <cell r="C89" t="str">
            <v>0030</v>
          </cell>
          <cell r="D89" t="str">
            <v>3707</v>
          </cell>
          <cell r="E89" t="str">
            <v>REINF.SIDE FLOOR TO TONNEAU</v>
          </cell>
          <cell r="F89" t="str">
            <v>DRAW &amp; PIR.</v>
          </cell>
          <cell r="G89">
            <v>2</v>
          </cell>
          <cell r="H89">
            <v>0.15</v>
          </cell>
        </row>
        <row r="90">
          <cell r="A90" t="str">
            <v>21</v>
          </cell>
          <cell r="B90" t="str">
            <v>3016018</v>
          </cell>
          <cell r="C90" t="str">
            <v>0050</v>
          </cell>
          <cell r="D90" t="str">
            <v>3707</v>
          </cell>
          <cell r="E90" t="str">
            <v>REINF.SIDE FLOOR TO TONNEAU</v>
          </cell>
          <cell r="F90" t="str">
            <v>FLG.BOTH SIDES</v>
          </cell>
          <cell r="G90">
            <v>2</v>
          </cell>
          <cell r="H90">
            <v>0.14000000000000001</v>
          </cell>
        </row>
        <row r="91">
          <cell r="A91" t="str">
            <v>21</v>
          </cell>
          <cell r="B91" t="str">
            <v>3016019</v>
          </cell>
          <cell r="C91" t="str">
            <v>0050</v>
          </cell>
          <cell r="D91" t="str">
            <v>3707</v>
          </cell>
          <cell r="E91" t="str">
            <v>REINF.SIDE FLOOR TO TONNEAU</v>
          </cell>
          <cell r="F91" t="str">
            <v>FLG.BOTH SIDES</v>
          </cell>
          <cell r="G91">
            <v>2</v>
          </cell>
          <cell r="H91">
            <v>0.14000000000000001</v>
          </cell>
        </row>
        <row r="92">
          <cell r="A92" t="str">
            <v>21</v>
          </cell>
          <cell r="B92" t="str">
            <v>3049872</v>
          </cell>
          <cell r="C92" t="str">
            <v>0030</v>
          </cell>
          <cell r="D92" t="str">
            <v>3707</v>
          </cell>
          <cell r="E92" t="str">
            <v>BRKT.SUPT.</v>
          </cell>
          <cell r="F92" t="str">
            <v>NOTCH &amp; PIR.</v>
          </cell>
          <cell r="G92">
            <v>2</v>
          </cell>
          <cell r="H92">
            <v>0.16</v>
          </cell>
        </row>
        <row r="93">
          <cell r="A93" t="str">
            <v>21</v>
          </cell>
          <cell r="B93" t="str">
            <v>3018100</v>
          </cell>
          <cell r="C93" t="str">
            <v>0060</v>
          </cell>
          <cell r="D93" t="str">
            <v>3707</v>
          </cell>
          <cell r="E93" t="str">
            <v>PNL.SQUAB SUPT.SIDE RH.</v>
          </cell>
          <cell r="F93" t="str">
            <v>FLG. R/LH.TOGE</v>
          </cell>
          <cell r="G93">
            <v>3</v>
          </cell>
          <cell r="H93">
            <v>0.15</v>
          </cell>
        </row>
        <row r="94">
          <cell r="A94" t="str">
            <v>21</v>
          </cell>
          <cell r="B94" t="str">
            <v>3018101</v>
          </cell>
          <cell r="C94" t="str">
            <v>0060</v>
          </cell>
          <cell r="D94" t="str">
            <v>3707</v>
          </cell>
          <cell r="E94" t="str">
            <v>PNL.SQUAB SUPT.SIDE LH.</v>
          </cell>
          <cell r="F94" t="str">
            <v>FLG. R/LH.TOGE</v>
          </cell>
          <cell r="G94">
            <v>3</v>
          </cell>
          <cell r="H94">
            <v>0.15</v>
          </cell>
        </row>
        <row r="95">
          <cell r="A95" t="str">
            <v>21</v>
          </cell>
          <cell r="B95" t="str">
            <v>3018100</v>
          </cell>
          <cell r="C95" t="str">
            <v>0050</v>
          </cell>
          <cell r="D95" t="str">
            <v>3707</v>
          </cell>
          <cell r="E95" t="str">
            <v>PNL.SQUAB SUPT.SIDE RH.</v>
          </cell>
          <cell r="F95" t="str">
            <v>TR.&amp;PIR R/L TO</v>
          </cell>
          <cell r="G95">
            <v>3</v>
          </cell>
          <cell r="H95">
            <v>0.18</v>
          </cell>
        </row>
        <row r="96">
          <cell r="A96" t="str">
            <v>21</v>
          </cell>
          <cell r="B96" t="str">
            <v>3018101</v>
          </cell>
          <cell r="C96" t="str">
            <v>0050</v>
          </cell>
          <cell r="D96" t="str">
            <v>3707</v>
          </cell>
          <cell r="E96" t="str">
            <v>PNL.SQUAB SUPT.SIDE LH.</v>
          </cell>
          <cell r="F96" t="str">
            <v>TR.&amp;PIR R/L TO</v>
          </cell>
          <cell r="G96">
            <v>3</v>
          </cell>
          <cell r="H96">
            <v>0.18</v>
          </cell>
        </row>
        <row r="97">
          <cell r="A97" t="str">
            <v>21</v>
          </cell>
          <cell r="B97" t="str">
            <v>3018100</v>
          </cell>
          <cell r="C97" t="str">
            <v>0040</v>
          </cell>
          <cell r="D97" t="str">
            <v>3707</v>
          </cell>
          <cell r="E97" t="str">
            <v>PNL.SQUAB SUPT.SIDE RH.</v>
          </cell>
          <cell r="F97" t="str">
            <v>FORM R/L TOGE</v>
          </cell>
          <cell r="G97">
            <v>3</v>
          </cell>
          <cell r="H97">
            <v>0.13</v>
          </cell>
        </row>
        <row r="98">
          <cell r="A98" t="str">
            <v>21</v>
          </cell>
          <cell r="B98" t="str">
            <v>3018101</v>
          </cell>
          <cell r="C98" t="str">
            <v>0040</v>
          </cell>
          <cell r="D98" t="str">
            <v>3707</v>
          </cell>
          <cell r="E98" t="str">
            <v>PNL.SQUAB SUPT.SIDE LH.</v>
          </cell>
          <cell r="F98" t="str">
            <v>FORM R/L TOGE</v>
          </cell>
          <cell r="G98">
            <v>3</v>
          </cell>
          <cell r="H98">
            <v>0.13</v>
          </cell>
        </row>
        <row r="99">
          <cell r="A99" t="str">
            <v>21</v>
          </cell>
          <cell r="B99" t="str">
            <v>3049872</v>
          </cell>
          <cell r="C99" t="str">
            <v>0040</v>
          </cell>
          <cell r="D99" t="str">
            <v>3707</v>
          </cell>
          <cell r="F99" t="str">
            <v>FORM 2 STAGES</v>
          </cell>
          <cell r="G99">
            <v>2</v>
          </cell>
          <cell r="H99">
            <v>0.2</v>
          </cell>
        </row>
        <row r="100">
          <cell r="A100" t="str">
            <v>21</v>
          </cell>
          <cell r="B100" t="str">
            <v>91011214</v>
          </cell>
          <cell r="C100" t="str">
            <v>0020</v>
          </cell>
          <cell r="D100" t="str">
            <v>3707</v>
          </cell>
          <cell r="E100" t="str">
            <v>SUPT.FRT.BUMP.RH.</v>
          </cell>
          <cell r="F100" t="str">
            <v>BLANK &amp; PIERCE</v>
          </cell>
          <cell r="G100">
            <v>2</v>
          </cell>
          <cell r="H100">
            <v>0.16</v>
          </cell>
        </row>
        <row r="101">
          <cell r="A101" t="str">
            <v>21</v>
          </cell>
          <cell r="B101" t="str">
            <v>91011215</v>
          </cell>
          <cell r="C101" t="str">
            <v>0020</v>
          </cell>
          <cell r="D101" t="str">
            <v>3707</v>
          </cell>
          <cell r="E101" t="str">
            <v>SUPT.FRT.BUMP.LH.</v>
          </cell>
          <cell r="F101" t="str">
            <v>BLANK &amp; PIERCE</v>
          </cell>
          <cell r="G101">
            <v>2</v>
          </cell>
          <cell r="H101">
            <v>0.16</v>
          </cell>
        </row>
        <row r="102">
          <cell r="A102" t="str">
            <v>21</v>
          </cell>
          <cell r="B102" t="str">
            <v>91011215</v>
          </cell>
          <cell r="C102" t="str">
            <v>0030</v>
          </cell>
          <cell r="D102" t="str">
            <v>3707</v>
          </cell>
          <cell r="E102" t="str">
            <v>SUPT.FRT.BUMP.LH.</v>
          </cell>
          <cell r="F102" t="str">
            <v>1ST FORM</v>
          </cell>
          <cell r="G102">
            <v>2</v>
          </cell>
          <cell r="H102">
            <v>0.14499999999999999</v>
          </cell>
        </row>
        <row r="103">
          <cell r="A103" t="str">
            <v>21</v>
          </cell>
          <cell r="B103" t="str">
            <v>91011214</v>
          </cell>
          <cell r="C103" t="str">
            <v>0030</v>
          </cell>
          <cell r="D103" t="str">
            <v>3707</v>
          </cell>
          <cell r="E103" t="str">
            <v>SUPT.FRT.BUMP.RH.</v>
          </cell>
          <cell r="F103" t="str">
            <v>1ST FORM</v>
          </cell>
          <cell r="G103">
            <v>2</v>
          </cell>
          <cell r="H103">
            <v>0.14499999999999999</v>
          </cell>
        </row>
        <row r="104">
          <cell r="A104" t="str">
            <v>21</v>
          </cell>
          <cell r="B104" t="str">
            <v>91011214</v>
          </cell>
          <cell r="C104" t="str">
            <v>0040</v>
          </cell>
          <cell r="D104" t="str">
            <v>3707</v>
          </cell>
          <cell r="E104" t="str">
            <v>SUPT.FRT.BUMP.RH.</v>
          </cell>
          <cell r="F104" t="str">
            <v>FLANGE</v>
          </cell>
          <cell r="G104">
            <v>2</v>
          </cell>
          <cell r="H104">
            <v>0.13500000000000001</v>
          </cell>
        </row>
        <row r="105">
          <cell r="A105" t="str">
            <v>21</v>
          </cell>
          <cell r="B105" t="str">
            <v>91011215</v>
          </cell>
          <cell r="C105" t="str">
            <v>0040</v>
          </cell>
          <cell r="D105" t="str">
            <v>3707</v>
          </cell>
          <cell r="E105" t="str">
            <v>SUPT.FRT.BUMP.LH.</v>
          </cell>
          <cell r="F105" t="str">
            <v>FLANGE</v>
          </cell>
          <cell r="G105">
            <v>2</v>
          </cell>
          <cell r="H105">
            <v>0.13500000000000001</v>
          </cell>
        </row>
        <row r="106">
          <cell r="A106" t="str">
            <v>21</v>
          </cell>
          <cell r="B106" t="str">
            <v>3018286</v>
          </cell>
          <cell r="C106" t="str">
            <v>0030</v>
          </cell>
          <cell r="D106" t="str">
            <v>3707</v>
          </cell>
          <cell r="E106" t="str">
            <v>PANEL TOE BOARD RH.</v>
          </cell>
          <cell r="F106" t="str">
            <v>BLANK</v>
          </cell>
          <cell r="G106">
            <v>2</v>
          </cell>
          <cell r="H106">
            <v>0.19</v>
          </cell>
        </row>
        <row r="107">
          <cell r="A107" t="str">
            <v>21</v>
          </cell>
          <cell r="B107" t="str">
            <v>3018287</v>
          </cell>
          <cell r="C107" t="str">
            <v>0030</v>
          </cell>
          <cell r="D107" t="str">
            <v>3707</v>
          </cell>
          <cell r="E107" t="str">
            <v>PANEL TOE BOARD LH.</v>
          </cell>
          <cell r="F107" t="str">
            <v>BLANK</v>
          </cell>
          <cell r="G107">
            <v>2</v>
          </cell>
          <cell r="H107">
            <v>0.19</v>
          </cell>
        </row>
        <row r="108">
          <cell r="A108" t="str">
            <v>21</v>
          </cell>
          <cell r="B108" t="str">
            <v>3004603</v>
          </cell>
          <cell r="C108" t="str">
            <v>0030</v>
          </cell>
          <cell r="D108" t="str">
            <v>3707</v>
          </cell>
          <cell r="E108" t="str">
            <v>PNL.SUPT.FRT.FENDER RH.</v>
          </cell>
          <cell r="F108" t="str">
            <v>DRAW DOUBLE</v>
          </cell>
          <cell r="G108">
            <v>2</v>
          </cell>
          <cell r="H108">
            <v>0.2</v>
          </cell>
        </row>
        <row r="109">
          <cell r="A109" t="str">
            <v>21</v>
          </cell>
          <cell r="B109" t="str">
            <v>3004604</v>
          </cell>
          <cell r="C109" t="str">
            <v>0030</v>
          </cell>
          <cell r="D109" t="str">
            <v>3707</v>
          </cell>
          <cell r="E109" t="str">
            <v>PNL.SUPT.FRT.FENDER LH.</v>
          </cell>
          <cell r="F109" t="str">
            <v>DRAW DOUBLE</v>
          </cell>
          <cell r="G109">
            <v>2</v>
          </cell>
          <cell r="H109">
            <v>0.2</v>
          </cell>
        </row>
        <row r="110">
          <cell r="A110" t="str">
            <v>21</v>
          </cell>
          <cell r="B110" t="str">
            <v>3004604</v>
          </cell>
          <cell r="C110" t="str">
            <v>0040</v>
          </cell>
          <cell r="D110" t="str">
            <v>3707</v>
          </cell>
          <cell r="E110" t="str">
            <v>PNL.SUPT.FRT.FENDER LH.</v>
          </cell>
          <cell r="F110" t="str">
            <v>TRIM &amp; P/OFF</v>
          </cell>
          <cell r="G110">
            <v>2</v>
          </cell>
          <cell r="H110">
            <v>0.123</v>
          </cell>
        </row>
        <row r="111">
          <cell r="A111" t="str">
            <v>21</v>
          </cell>
          <cell r="B111" t="str">
            <v>3004603</v>
          </cell>
          <cell r="C111" t="str">
            <v>0040</v>
          </cell>
          <cell r="D111" t="str">
            <v>3707</v>
          </cell>
          <cell r="E111" t="str">
            <v>PNL.SUPT.FRT.FENDER RH.</v>
          </cell>
          <cell r="F111" t="str">
            <v>TRIM &amp; P/OFF</v>
          </cell>
          <cell r="G111">
            <v>2</v>
          </cell>
          <cell r="H111">
            <v>0.123</v>
          </cell>
        </row>
        <row r="112">
          <cell r="A112" t="str">
            <v>21</v>
          </cell>
          <cell r="B112" t="str">
            <v>3004603</v>
          </cell>
          <cell r="C112" t="str">
            <v>0050</v>
          </cell>
          <cell r="D112" t="str">
            <v>3707</v>
          </cell>
          <cell r="E112" t="str">
            <v>PNL.SUPT.FRT.FENDER RH.</v>
          </cell>
          <cell r="F112" t="str">
            <v>WIPE UP R/LH.</v>
          </cell>
          <cell r="G112">
            <v>2</v>
          </cell>
          <cell r="H112">
            <v>0.1</v>
          </cell>
        </row>
        <row r="113">
          <cell r="A113" t="str">
            <v>21</v>
          </cell>
          <cell r="B113" t="str">
            <v>3004604</v>
          </cell>
          <cell r="C113" t="str">
            <v>0050</v>
          </cell>
          <cell r="D113" t="str">
            <v>3707</v>
          </cell>
          <cell r="E113" t="str">
            <v>PNL.SUPT.FRT.FENDER LH.</v>
          </cell>
          <cell r="F113" t="str">
            <v>WIPE UP R/LH.</v>
          </cell>
          <cell r="G113">
            <v>2</v>
          </cell>
          <cell r="H113">
            <v>0.1</v>
          </cell>
        </row>
        <row r="114">
          <cell r="A114" t="str">
            <v>21</v>
          </cell>
          <cell r="B114" t="str">
            <v>3004604</v>
          </cell>
          <cell r="C114" t="str">
            <v>0060</v>
          </cell>
          <cell r="D114" t="str">
            <v>3707</v>
          </cell>
          <cell r="E114" t="str">
            <v>PNL.SUPT.FRT.FENDER LH.</v>
          </cell>
          <cell r="F114" t="str">
            <v>PIERCE R/LH.</v>
          </cell>
          <cell r="G114">
            <v>2</v>
          </cell>
          <cell r="H114">
            <v>0.1</v>
          </cell>
        </row>
        <row r="115">
          <cell r="A115" t="str">
            <v>21</v>
          </cell>
          <cell r="B115" t="str">
            <v>3004603</v>
          </cell>
          <cell r="C115" t="str">
            <v>0060</v>
          </cell>
          <cell r="D115" t="str">
            <v>3707</v>
          </cell>
          <cell r="E115" t="str">
            <v>PNL.SUPT.FRT.FENDER RH.</v>
          </cell>
          <cell r="F115" t="str">
            <v>PIERCE R/LH.</v>
          </cell>
          <cell r="G115">
            <v>2</v>
          </cell>
          <cell r="H115">
            <v>0.1</v>
          </cell>
        </row>
        <row r="116">
          <cell r="A116" t="str">
            <v>21</v>
          </cell>
          <cell r="B116" t="str">
            <v>3018806</v>
          </cell>
          <cell r="C116" t="str">
            <v>0010</v>
          </cell>
          <cell r="D116" t="str">
            <v>3707</v>
          </cell>
          <cell r="E116" t="str">
            <v>PNL.FIN.'A'POST RH.</v>
          </cell>
          <cell r="F116" t="str">
            <v>BLANK &amp; PIR.</v>
          </cell>
          <cell r="G116">
            <v>2</v>
          </cell>
          <cell r="H116">
            <v>0.15</v>
          </cell>
        </row>
        <row r="117">
          <cell r="A117" t="str">
            <v>21</v>
          </cell>
          <cell r="B117" t="str">
            <v>3018807</v>
          </cell>
          <cell r="C117" t="str">
            <v>0010</v>
          </cell>
          <cell r="D117" t="str">
            <v>3707</v>
          </cell>
          <cell r="E117" t="str">
            <v>PNL.FIN.'A'POST LH.</v>
          </cell>
          <cell r="F117" t="str">
            <v>BLANK &amp; PIR.</v>
          </cell>
          <cell r="G117">
            <v>2</v>
          </cell>
          <cell r="H117">
            <v>0.15</v>
          </cell>
        </row>
        <row r="118">
          <cell r="A118" t="str">
            <v>21</v>
          </cell>
          <cell r="B118" t="str">
            <v>3018807</v>
          </cell>
          <cell r="C118" t="str">
            <v>0020</v>
          </cell>
          <cell r="D118" t="str">
            <v>3707</v>
          </cell>
          <cell r="E118" t="str">
            <v>PNL.FIN.'A'POST LH.</v>
          </cell>
          <cell r="F118" t="str">
            <v>FORM</v>
          </cell>
          <cell r="G118">
            <v>2</v>
          </cell>
          <cell r="H118">
            <v>0.16</v>
          </cell>
        </row>
        <row r="119">
          <cell r="A119" t="str">
            <v>21</v>
          </cell>
          <cell r="B119" t="str">
            <v>3018806</v>
          </cell>
          <cell r="C119" t="str">
            <v>0020</v>
          </cell>
          <cell r="D119" t="str">
            <v>3707</v>
          </cell>
          <cell r="E119" t="str">
            <v>PNL.FIN.'A'POST RH.</v>
          </cell>
          <cell r="F119" t="str">
            <v>FORM R+L.</v>
          </cell>
          <cell r="G119">
            <v>2</v>
          </cell>
          <cell r="H119">
            <v>0.16</v>
          </cell>
        </row>
        <row r="120">
          <cell r="A120" t="str">
            <v>21</v>
          </cell>
          <cell r="B120" t="str">
            <v>4302106102</v>
          </cell>
          <cell r="C120" t="str">
            <v>0080</v>
          </cell>
          <cell r="D120" t="str">
            <v>3707</v>
          </cell>
          <cell r="E120" t="str">
            <v>PNL.EXTN.FRT.FENDER LWR.RH.</v>
          </cell>
          <cell r="F120" t="str">
            <v>NOTCH</v>
          </cell>
          <cell r="G120">
            <v>2</v>
          </cell>
          <cell r="H120">
            <v>0.22</v>
          </cell>
        </row>
        <row r="121">
          <cell r="A121" t="str">
            <v>21</v>
          </cell>
          <cell r="B121" t="str">
            <v>4302106103</v>
          </cell>
          <cell r="C121" t="str">
            <v>0080</v>
          </cell>
          <cell r="D121" t="str">
            <v>3707</v>
          </cell>
          <cell r="E121" t="str">
            <v>PNL.EXTN.FRT.FENDER LWR.LH.</v>
          </cell>
          <cell r="F121" t="str">
            <v>NOTCH</v>
          </cell>
          <cell r="G121">
            <v>2</v>
          </cell>
          <cell r="H121">
            <v>0.22</v>
          </cell>
        </row>
        <row r="122">
          <cell r="A122" t="str">
            <v>21</v>
          </cell>
          <cell r="B122" t="str">
            <v>4302106103</v>
          </cell>
          <cell r="C122" t="str">
            <v>0090</v>
          </cell>
          <cell r="D122" t="str">
            <v>3707</v>
          </cell>
          <cell r="E122" t="str">
            <v>PNL.EXTN.FRT.FENDER LWR.LH.</v>
          </cell>
          <cell r="F122" t="str">
            <v>FLANGE</v>
          </cell>
          <cell r="G122">
            <v>2</v>
          </cell>
          <cell r="H122">
            <v>0.26</v>
          </cell>
        </row>
        <row r="123">
          <cell r="A123" t="str">
            <v>21</v>
          </cell>
          <cell r="B123" t="str">
            <v>4302106102</v>
          </cell>
          <cell r="C123" t="str">
            <v>0090</v>
          </cell>
          <cell r="D123" t="str">
            <v>3707</v>
          </cell>
          <cell r="E123" t="str">
            <v>PNL.EXTN.FRT.FENDER LWR.RH.</v>
          </cell>
          <cell r="F123" t="str">
            <v>FLANGE</v>
          </cell>
          <cell r="G123">
            <v>2</v>
          </cell>
          <cell r="H123">
            <v>0.26</v>
          </cell>
        </row>
        <row r="124">
          <cell r="A124" t="str">
            <v>21</v>
          </cell>
          <cell r="B124" t="str">
            <v>4302106102</v>
          </cell>
          <cell r="C124" t="str">
            <v>0100</v>
          </cell>
          <cell r="D124" t="str">
            <v>3707</v>
          </cell>
          <cell r="E124" t="str">
            <v>PNL.EXTN.FRT.FENDER LWR.RH.</v>
          </cell>
          <cell r="F124" t="str">
            <v>CAM PIERCE</v>
          </cell>
          <cell r="G124">
            <v>2</v>
          </cell>
          <cell r="H124">
            <v>0.28000000000000003</v>
          </cell>
        </row>
        <row r="125">
          <cell r="A125" t="str">
            <v>21</v>
          </cell>
          <cell r="B125" t="str">
            <v>4302106103</v>
          </cell>
          <cell r="C125" t="str">
            <v>0100</v>
          </cell>
          <cell r="D125" t="str">
            <v>3707</v>
          </cell>
          <cell r="E125" t="str">
            <v>PNL.EXTN.FRT.FENDER LWR.LH.</v>
          </cell>
          <cell r="F125" t="str">
            <v>CAM PIERCE</v>
          </cell>
          <cell r="G125">
            <v>2</v>
          </cell>
          <cell r="H125">
            <v>0.28000000000000003</v>
          </cell>
        </row>
        <row r="126">
          <cell r="A126" t="str">
            <v>21</v>
          </cell>
          <cell r="B126" t="str">
            <v>4302106103</v>
          </cell>
          <cell r="C126" t="str">
            <v>0110</v>
          </cell>
          <cell r="D126" t="str">
            <v>3707</v>
          </cell>
          <cell r="E126" t="str">
            <v>PNL.EXTN.FRT.FENDER LWR.LH.</v>
          </cell>
          <cell r="F126" t="str">
            <v>RE-STRIKE(2ST)</v>
          </cell>
          <cell r="G126">
            <v>3</v>
          </cell>
          <cell r="H126">
            <v>0.32</v>
          </cell>
        </row>
        <row r="127">
          <cell r="A127" t="str">
            <v>21</v>
          </cell>
          <cell r="B127" t="str">
            <v>4302106102</v>
          </cell>
          <cell r="C127" t="str">
            <v>0110</v>
          </cell>
          <cell r="D127" t="str">
            <v>3707</v>
          </cell>
          <cell r="E127" t="str">
            <v>PNL.EXTN.FRT.FENDER LWR.RH.</v>
          </cell>
          <cell r="F127" t="str">
            <v>RESTRIKE(2STG)</v>
          </cell>
          <cell r="G127">
            <v>3</v>
          </cell>
          <cell r="H127">
            <v>0.34</v>
          </cell>
        </row>
        <row r="128">
          <cell r="A128" t="str">
            <v>21</v>
          </cell>
          <cell r="B128" t="str">
            <v>4302106102</v>
          </cell>
          <cell r="C128" t="str">
            <v>0050</v>
          </cell>
          <cell r="D128" t="str">
            <v>3707</v>
          </cell>
          <cell r="E128" t="str">
            <v>PNL.EXTN.FRT.FENDER LWR.RH.</v>
          </cell>
          <cell r="F128" t="str">
            <v>DRAW</v>
          </cell>
          <cell r="G128">
            <v>3</v>
          </cell>
          <cell r="H128">
            <v>0.28000000000000003</v>
          </cell>
        </row>
        <row r="129">
          <cell r="A129" t="str">
            <v>21</v>
          </cell>
          <cell r="B129" t="str">
            <v>4302106103</v>
          </cell>
          <cell r="C129" t="str">
            <v>0050</v>
          </cell>
          <cell r="D129" t="str">
            <v>3707</v>
          </cell>
          <cell r="E129" t="str">
            <v>PNL.EXTN.FRT.FENDER LWR.LH.</v>
          </cell>
          <cell r="F129" t="str">
            <v>DRAW</v>
          </cell>
          <cell r="G129">
            <v>3</v>
          </cell>
          <cell r="H129">
            <v>0.28000000000000003</v>
          </cell>
        </row>
        <row r="130">
          <cell r="A130" t="str">
            <v>21</v>
          </cell>
          <cell r="B130" t="str">
            <v>4302106103</v>
          </cell>
          <cell r="C130" t="str">
            <v>0060</v>
          </cell>
          <cell r="D130" t="str">
            <v>3707</v>
          </cell>
          <cell r="E130" t="str">
            <v>PNL.EXTN.FRT.FENDER LWR.LH.</v>
          </cell>
          <cell r="F130" t="str">
            <v>TRIM ALLROUND</v>
          </cell>
          <cell r="G130">
            <v>2</v>
          </cell>
          <cell r="H130">
            <v>0.26</v>
          </cell>
        </row>
        <row r="131">
          <cell r="A131" t="str">
            <v>21</v>
          </cell>
          <cell r="B131" t="str">
            <v>4302106102</v>
          </cell>
          <cell r="C131" t="str">
            <v>0060</v>
          </cell>
          <cell r="D131" t="str">
            <v>3707</v>
          </cell>
          <cell r="E131" t="str">
            <v>PNL.EXTN.FRT.FENDER LWR.RH.</v>
          </cell>
          <cell r="F131" t="str">
            <v>TRIM ALLROUND</v>
          </cell>
          <cell r="G131">
            <v>2</v>
          </cell>
          <cell r="H131">
            <v>0.28000000000000003</v>
          </cell>
        </row>
        <row r="132">
          <cell r="A132" t="str">
            <v>21</v>
          </cell>
          <cell r="B132" t="str">
            <v>4302106102</v>
          </cell>
          <cell r="C132" t="str">
            <v>0070</v>
          </cell>
          <cell r="D132" t="str">
            <v>3707</v>
          </cell>
          <cell r="E132" t="str">
            <v>PNL.EXTN.FRT.FENDER LWR.RH.</v>
          </cell>
          <cell r="F132" t="str">
            <v>TRIM COMP.PIR</v>
          </cell>
          <cell r="G132">
            <v>2</v>
          </cell>
          <cell r="H132">
            <v>0.28000000000000003</v>
          </cell>
        </row>
        <row r="133">
          <cell r="A133" t="str">
            <v>21</v>
          </cell>
          <cell r="B133" t="str">
            <v>4302106103</v>
          </cell>
          <cell r="C133" t="str">
            <v>0070</v>
          </cell>
          <cell r="D133" t="str">
            <v>3707</v>
          </cell>
          <cell r="E133" t="str">
            <v>PNL.EXTN.FRT.FENDER LWR.LH.</v>
          </cell>
          <cell r="F133" t="str">
            <v>TRIM COMP.PIR</v>
          </cell>
          <cell r="G133">
            <v>2</v>
          </cell>
          <cell r="H133">
            <v>0.28000000000000003</v>
          </cell>
        </row>
        <row r="134">
          <cell r="A134" t="str">
            <v>21</v>
          </cell>
          <cell r="B134" t="str">
            <v>3017186</v>
          </cell>
          <cell r="C134" t="str">
            <v>0030</v>
          </cell>
          <cell r="D134" t="str">
            <v>3707</v>
          </cell>
          <cell r="E134" t="str">
            <v>EXTN.FRT.FENDER LH.</v>
          </cell>
          <cell r="F134" t="str">
            <v>DRAW DOUBLE</v>
          </cell>
          <cell r="G134">
            <v>2</v>
          </cell>
          <cell r="H134">
            <v>0.14000000000000001</v>
          </cell>
        </row>
        <row r="135">
          <cell r="A135" t="str">
            <v>21</v>
          </cell>
          <cell r="B135" t="str">
            <v>3016018</v>
          </cell>
          <cell r="C135" t="str">
            <v>0060</v>
          </cell>
          <cell r="D135" t="str">
            <v>3707</v>
          </cell>
          <cell r="E135" t="str">
            <v>REINF. SIDE FLOOR TO TONNE RH</v>
          </cell>
          <cell r="F135" t="str">
            <v>END FLG.</v>
          </cell>
          <cell r="G135">
            <v>2</v>
          </cell>
          <cell r="H135">
            <v>0.17499999999999999</v>
          </cell>
        </row>
        <row r="136">
          <cell r="A136" t="str">
            <v>21</v>
          </cell>
          <cell r="B136" t="str">
            <v>3016019</v>
          </cell>
          <cell r="C136" t="str">
            <v>0060</v>
          </cell>
          <cell r="D136" t="str">
            <v>3707</v>
          </cell>
          <cell r="E136" t="str">
            <v>REINF. SIDE FLOOR TO TONNE LH</v>
          </cell>
          <cell r="F136" t="str">
            <v>END FLG.</v>
          </cell>
          <cell r="G136">
            <v>0</v>
          </cell>
          <cell r="H136">
            <v>0.17499999999999999</v>
          </cell>
        </row>
        <row r="137">
          <cell r="A137" t="str">
            <v>21</v>
          </cell>
          <cell r="B137" t="str">
            <v>3017186</v>
          </cell>
          <cell r="C137" t="str">
            <v>0040</v>
          </cell>
          <cell r="D137" t="str">
            <v>3707</v>
          </cell>
          <cell r="E137" t="str">
            <v>EXTN.FRT.FENDER LH.</v>
          </cell>
          <cell r="F137" t="str">
            <v>PIERCE</v>
          </cell>
          <cell r="G137">
            <v>2</v>
          </cell>
          <cell r="H137">
            <v>0.19</v>
          </cell>
        </row>
        <row r="138">
          <cell r="A138" t="str">
            <v>21</v>
          </cell>
          <cell r="B138" t="str">
            <v>3017185</v>
          </cell>
          <cell r="C138" t="str">
            <v>0040</v>
          </cell>
          <cell r="D138" t="str">
            <v>3707</v>
          </cell>
          <cell r="E138" t="str">
            <v>EXTN.FRT.FENDER RH.</v>
          </cell>
          <cell r="F138" t="str">
            <v>PIERCE</v>
          </cell>
          <cell r="G138">
            <v>2</v>
          </cell>
          <cell r="H138">
            <v>0.19</v>
          </cell>
        </row>
        <row r="139">
          <cell r="A139" t="str">
            <v>21</v>
          </cell>
          <cell r="B139" t="str">
            <v>3016338</v>
          </cell>
          <cell r="C139" t="str">
            <v>0060</v>
          </cell>
          <cell r="D139" t="str">
            <v>3707</v>
          </cell>
          <cell r="E139" t="str">
            <v>ANGLE ATTACHMENT FRT.FENDER RH</v>
          </cell>
          <cell r="F139" t="str">
            <v>RE-STRIKE</v>
          </cell>
          <cell r="G139">
            <v>2</v>
          </cell>
          <cell r="H139">
            <v>0.35</v>
          </cell>
        </row>
        <row r="140">
          <cell r="A140" t="str">
            <v>21</v>
          </cell>
          <cell r="B140" t="str">
            <v>3016339</v>
          </cell>
          <cell r="C140" t="str">
            <v>0060</v>
          </cell>
          <cell r="D140" t="str">
            <v>3707</v>
          </cell>
          <cell r="E140" t="str">
            <v>ANGLE ATTACHMENT FRT.FENDER LH</v>
          </cell>
          <cell r="F140" t="str">
            <v>RE-STRIKE</v>
          </cell>
          <cell r="G140">
            <v>2</v>
          </cell>
          <cell r="H140">
            <v>0.35</v>
          </cell>
        </row>
        <row r="141">
          <cell r="A141" t="str">
            <v>21</v>
          </cell>
          <cell r="B141" t="str">
            <v>4302106102</v>
          </cell>
          <cell r="C141" t="str">
            <v>0030</v>
          </cell>
          <cell r="D141" t="str">
            <v>3707</v>
          </cell>
          <cell r="E141" t="str">
            <v>PNL.EXTN.FRT.FENDER RH.</v>
          </cell>
          <cell r="F141" t="str">
            <v>BLANK</v>
          </cell>
          <cell r="G141">
            <v>2</v>
          </cell>
          <cell r="H141">
            <v>0.3</v>
          </cell>
        </row>
        <row r="142">
          <cell r="A142" t="str">
            <v>21</v>
          </cell>
          <cell r="B142" t="str">
            <v>4302106103</v>
          </cell>
          <cell r="C142" t="str">
            <v>0030</v>
          </cell>
          <cell r="D142" t="str">
            <v>3707</v>
          </cell>
          <cell r="E142" t="str">
            <v>PNL.EXTN.FRT.FENDER LH.</v>
          </cell>
          <cell r="F142" t="str">
            <v>BLANK</v>
          </cell>
          <cell r="G142">
            <v>2</v>
          </cell>
          <cell r="H142">
            <v>0.3</v>
          </cell>
        </row>
        <row r="143">
          <cell r="A143" t="str">
            <v>21</v>
          </cell>
          <cell r="B143" t="str">
            <v>4031006008</v>
          </cell>
          <cell r="C143" t="str">
            <v>0040</v>
          </cell>
          <cell r="D143" t="str">
            <v>3707</v>
          </cell>
          <cell r="E143" t="str">
            <v>SHOCK ABSORBER PIVOT BRKT.PLT.</v>
          </cell>
          <cell r="F143" t="str">
            <v>FLATTEN 2PC/ST</v>
          </cell>
          <cell r="G143">
            <v>2</v>
          </cell>
          <cell r="H143">
            <v>0.09</v>
          </cell>
        </row>
        <row r="144">
          <cell r="A144" t="str">
            <v>21</v>
          </cell>
          <cell r="B144" t="str">
            <v>3018402</v>
          </cell>
          <cell r="C144" t="str">
            <v>0070</v>
          </cell>
          <cell r="D144" t="str">
            <v>3707</v>
          </cell>
          <cell r="E144" t="str">
            <v>REINF.TOE BOARD RH.</v>
          </cell>
          <cell r="F144" t="str">
            <v>FIN.FORM</v>
          </cell>
          <cell r="G144">
            <v>3</v>
          </cell>
          <cell r="H144">
            <v>0.20300000000000001</v>
          </cell>
        </row>
        <row r="145">
          <cell r="A145" t="str">
            <v>21</v>
          </cell>
          <cell r="B145" t="str">
            <v>3018403</v>
          </cell>
          <cell r="C145" t="str">
            <v>0070</v>
          </cell>
          <cell r="D145" t="str">
            <v>3707</v>
          </cell>
          <cell r="E145" t="str">
            <v>REINF.TOE BOARD LH.</v>
          </cell>
          <cell r="F145" t="str">
            <v>FIN.FORM</v>
          </cell>
          <cell r="G145">
            <v>3</v>
          </cell>
          <cell r="H145">
            <v>0.20300000000000001</v>
          </cell>
        </row>
        <row r="146">
          <cell r="A146" t="str">
            <v>21</v>
          </cell>
          <cell r="B146" t="str">
            <v>3027073</v>
          </cell>
          <cell r="C146" t="str">
            <v>0020</v>
          </cell>
          <cell r="D146" t="str">
            <v>3707</v>
          </cell>
          <cell r="E146" t="str">
            <v>BRKT.ENG MTG FRT. LH.</v>
          </cell>
          <cell r="F146" t="str">
            <v>BLANK</v>
          </cell>
          <cell r="G146">
            <v>3</v>
          </cell>
          <cell r="H146">
            <v>0.15</v>
          </cell>
        </row>
        <row r="147">
          <cell r="A147" t="str">
            <v>21</v>
          </cell>
          <cell r="B147" t="str">
            <v>3039061</v>
          </cell>
          <cell r="C147" t="str">
            <v>0020</v>
          </cell>
          <cell r="D147" t="str">
            <v>3707</v>
          </cell>
          <cell r="E147" t="str">
            <v>CRANK CASE FRONT COVER.</v>
          </cell>
          <cell r="F147" t="str">
            <v>BLK.</v>
          </cell>
          <cell r="G147">
            <v>2</v>
          </cell>
          <cell r="H147">
            <v>0.14000000000000001</v>
          </cell>
        </row>
        <row r="148">
          <cell r="A148" t="str">
            <v>21</v>
          </cell>
          <cell r="B148" t="str">
            <v>4066306001</v>
          </cell>
          <cell r="C148" t="str">
            <v>0040</v>
          </cell>
          <cell r="D148" t="str">
            <v>3707</v>
          </cell>
          <cell r="E148" t="str">
            <v>VALVE ROCKER COVER</v>
          </cell>
          <cell r="F148" t="str">
            <v>DRAW &amp; EMBOSS</v>
          </cell>
          <cell r="G148">
            <v>2</v>
          </cell>
          <cell r="H148">
            <v>0.224</v>
          </cell>
        </row>
        <row r="149">
          <cell r="A149" t="str">
            <v>21</v>
          </cell>
          <cell r="B149" t="str">
            <v>4066306001</v>
          </cell>
          <cell r="C149" t="str">
            <v>0060</v>
          </cell>
          <cell r="D149" t="str">
            <v>3707</v>
          </cell>
          <cell r="E149" t="str">
            <v>VALVE ROCKER COVER</v>
          </cell>
          <cell r="F149" t="str">
            <v>FLG.&amp; RES.</v>
          </cell>
          <cell r="G149">
            <v>2</v>
          </cell>
          <cell r="H149">
            <v>0.24199999999999999</v>
          </cell>
        </row>
        <row r="150">
          <cell r="A150" t="str">
            <v>21R</v>
          </cell>
          <cell r="B150" t="str">
            <v>8854113</v>
          </cell>
          <cell r="C150" t="str">
            <v>0080</v>
          </cell>
          <cell r="D150" t="str">
            <v>3707</v>
          </cell>
          <cell r="E150" t="str">
            <v>BRKT. HAND BRAKE MTG.</v>
          </cell>
          <cell r="F150" t="str">
            <v>CAM PIERCE</v>
          </cell>
          <cell r="G150">
            <v>2</v>
          </cell>
          <cell r="H150">
            <v>0.16300000000000001</v>
          </cell>
        </row>
        <row r="151">
          <cell r="A151" t="str">
            <v>21R</v>
          </cell>
          <cell r="B151" t="str">
            <v>8854113</v>
          </cell>
          <cell r="C151" t="str">
            <v>0090</v>
          </cell>
          <cell r="D151" t="str">
            <v>3707</v>
          </cell>
          <cell r="E151" t="str">
            <v>BRKT. HAND BRAKE MTG.</v>
          </cell>
          <cell r="F151" t="str">
            <v>FORM</v>
          </cell>
          <cell r="G151">
            <v>2</v>
          </cell>
          <cell r="H151">
            <v>0.16300000000000001</v>
          </cell>
        </row>
        <row r="152">
          <cell r="A152" t="str">
            <v>21</v>
          </cell>
          <cell r="B152" t="str">
            <v>3008232</v>
          </cell>
          <cell r="C152" t="str">
            <v>0060</v>
          </cell>
          <cell r="D152" t="str">
            <v>3707</v>
          </cell>
          <cell r="E152" t="str">
            <v>BRG.PLATE VERNIER BRKT.</v>
          </cell>
          <cell r="F152" t="str">
            <v>1ST FORM R/LH.</v>
          </cell>
          <cell r="G152">
            <v>2</v>
          </cell>
          <cell r="H152">
            <v>0.12</v>
          </cell>
        </row>
        <row r="153">
          <cell r="A153" t="str">
            <v>21</v>
          </cell>
          <cell r="B153" t="str">
            <v>3025294</v>
          </cell>
          <cell r="C153" t="str">
            <v>0040</v>
          </cell>
          <cell r="D153" t="str">
            <v>3707</v>
          </cell>
          <cell r="E153" t="str">
            <v>FAN &amp; WATER PUMP PULLEY</v>
          </cell>
          <cell r="F153" t="str">
            <v>TRIM ALLROUND</v>
          </cell>
          <cell r="G153">
            <v>2</v>
          </cell>
          <cell r="H153">
            <v>0.15</v>
          </cell>
        </row>
        <row r="154">
          <cell r="A154" t="str">
            <v>21</v>
          </cell>
          <cell r="B154" t="str">
            <v>3025294</v>
          </cell>
          <cell r="C154" t="str">
            <v>0060</v>
          </cell>
          <cell r="D154" t="str">
            <v>3707</v>
          </cell>
          <cell r="E154" t="str">
            <v>FAN &amp; WATER PUMP PULLEY</v>
          </cell>
          <cell r="F154" t="str">
            <v>PIR.5 HOLES</v>
          </cell>
          <cell r="G154">
            <v>2</v>
          </cell>
          <cell r="H154">
            <v>0.13</v>
          </cell>
        </row>
        <row r="155">
          <cell r="A155" t="str">
            <v>21</v>
          </cell>
          <cell r="B155" t="str">
            <v>3008233</v>
          </cell>
          <cell r="C155" t="str">
            <v>0060</v>
          </cell>
          <cell r="D155" t="str">
            <v>3707</v>
          </cell>
          <cell r="E155" t="str">
            <v>BRG.PLATE VERNIER BRKT.</v>
          </cell>
          <cell r="F155" t="str">
            <v>1ST FORM R+L</v>
          </cell>
          <cell r="G155">
            <v>2</v>
          </cell>
          <cell r="H155">
            <v>0.12</v>
          </cell>
        </row>
        <row r="156">
          <cell r="A156" t="str">
            <v>21</v>
          </cell>
          <cell r="B156" t="str">
            <v>3008232</v>
          </cell>
          <cell r="C156" t="str">
            <v>0020</v>
          </cell>
          <cell r="D156" t="str">
            <v>3707</v>
          </cell>
          <cell r="E156" t="str">
            <v>BRG.PLATE VERNIER BRKT.</v>
          </cell>
          <cell r="F156" t="str">
            <v>BLANK &amp; PIERCE</v>
          </cell>
          <cell r="G156">
            <v>4</v>
          </cell>
          <cell r="H156">
            <v>0.217</v>
          </cell>
        </row>
        <row r="157">
          <cell r="A157" t="str">
            <v>21</v>
          </cell>
          <cell r="B157" t="str">
            <v>3008232</v>
          </cell>
          <cell r="C157" t="str">
            <v>0080</v>
          </cell>
          <cell r="D157" t="str">
            <v>3707</v>
          </cell>
          <cell r="E157" t="str">
            <v>BRG.PLATE VERNIER BRKT.</v>
          </cell>
          <cell r="F157" t="str">
            <v>F/FORM(RH&amp;LH)</v>
          </cell>
          <cell r="G157">
            <v>2</v>
          </cell>
          <cell r="H157">
            <v>0.12</v>
          </cell>
        </row>
        <row r="158">
          <cell r="A158" t="str">
            <v>21</v>
          </cell>
          <cell r="B158" t="str">
            <v>3008232</v>
          </cell>
          <cell r="C158" t="str">
            <v>0030</v>
          </cell>
          <cell r="D158" t="str">
            <v>3707</v>
          </cell>
          <cell r="E158" t="str">
            <v>BRG.PLATE VERNIER BRKT.</v>
          </cell>
          <cell r="F158" t="str">
            <v>PIERCE 2 STAGE</v>
          </cell>
          <cell r="G158">
            <v>2</v>
          </cell>
          <cell r="H158">
            <v>0.2</v>
          </cell>
        </row>
        <row r="159">
          <cell r="A159" t="str">
            <v>21</v>
          </cell>
          <cell r="B159" t="str">
            <v>3008233</v>
          </cell>
          <cell r="C159" t="str">
            <v>0020</v>
          </cell>
          <cell r="D159" t="str">
            <v>3707</v>
          </cell>
          <cell r="E159" t="str">
            <v>BRG.PLATE VERNIER BRKT.</v>
          </cell>
          <cell r="F159" t="str">
            <v>BLANK &amp; PIERCE</v>
          </cell>
          <cell r="G159">
            <v>4</v>
          </cell>
          <cell r="H159">
            <v>0.217</v>
          </cell>
        </row>
        <row r="160">
          <cell r="A160" t="str">
            <v>21</v>
          </cell>
          <cell r="B160" t="str">
            <v>3008233</v>
          </cell>
          <cell r="C160" t="str">
            <v>0080</v>
          </cell>
          <cell r="D160" t="str">
            <v>3707</v>
          </cell>
          <cell r="E160" t="str">
            <v>BRG.PLATE VERNIER BRKT.</v>
          </cell>
          <cell r="F160" t="str">
            <v>FORM (RH&amp;LH)</v>
          </cell>
          <cell r="G160">
            <v>2</v>
          </cell>
          <cell r="H160">
            <v>0.12</v>
          </cell>
        </row>
        <row r="161">
          <cell r="A161" t="str">
            <v>21</v>
          </cell>
          <cell r="B161" t="str">
            <v>3008233</v>
          </cell>
          <cell r="C161" t="str">
            <v>0030</v>
          </cell>
          <cell r="D161" t="str">
            <v>3707</v>
          </cell>
          <cell r="E161" t="str">
            <v>BRG.PLATE VERNIER BRKT.</v>
          </cell>
          <cell r="F161" t="str">
            <v>PIERCE 2 STAGE</v>
          </cell>
          <cell r="G161">
            <v>2</v>
          </cell>
          <cell r="H161">
            <v>0.2</v>
          </cell>
        </row>
        <row r="162">
          <cell r="A162" t="str">
            <v>21</v>
          </cell>
          <cell r="B162" t="str">
            <v>4302106078</v>
          </cell>
          <cell r="C162" t="str">
            <v>0020</v>
          </cell>
          <cell r="D162" t="str">
            <v>3707</v>
          </cell>
          <cell r="E162" t="str">
            <v>MEMB. REINF.S/A BUMP.RUBBER RH</v>
          </cell>
          <cell r="F162" t="str">
            <v>BLANK</v>
          </cell>
          <cell r="G162">
            <v>2</v>
          </cell>
          <cell r="H162">
            <v>0.25</v>
          </cell>
        </row>
        <row r="163">
          <cell r="D163" t="str">
            <v>3707</v>
          </cell>
          <cell r="F163" t="str">
            <v>"I" NOTCH</v>
          </cell>
          <cell r="G163">
            <v>2</v>
          </cell>
          <cell r="H163">
            <v>0.22</v>
          </cell>
        </row>
        <row r="164">
          <cell r="D164" t="str">
            <v>3707</v>
          </cell>
          <cell r="E164" t="str">
            <v>PLATE CAMBER ADJ.</v>
          </cell>
          <cell r="F164" t="str">
            <v>BLANK &amp; PIERCE</v>
          </cell>
          <cell r="G164">
            <v>2</v>
          </cell>
          <cell r="H164">
            <v>0.14000000000000001</v>
          </cell>
        </row>
        <row r="165">
          <cell r="A165" t="str">
            <v>21</v>
          </cell>
          <cell r="B165" t="str">
            <v>3017185</v>
          </cell>
          <cell r="C165" t="str">
            <v>0030</v>
          </cell>
          <cell r="D165" t="str">
            <v>3707</v>
          </cell>
          <cell r="F165" t="str">
            <v>DRAW DOUBLE</v>
          </cell>
          <cell r="G165">
            <v>2</v>
          </cell>
          <cell r="H165">
            <v>0.14000000000000001</v>
          </cell>
        </row>
        <row r="166">
          <cell r="A166" t="str">
            <v>21</v>
          </cell>
          <cell r="B166" t="str">
            <v>3017185</v>
          </cell>
          <cell r="C166" t="str">
            <v>0050</v>
          </cell>
          <cell r="D166" t="str">
            <v>3707</v>
          </cell>
          <cell r="F166" t="str">
            <v>P/OFF.</v>
          </cell>
          <cell r="G166">
            <v>2</v>
          </cell>
          <cell r="H166">
            <v>0.12</v>
          </cell>
        </row>
        <row r="167">
          <cell r="A167" t="str">
            <v>21</v>
          </cell>
          <cell r="B167" t="str">
            <v>3017186</v>
          </cell>
          <cell r="C167" t="str">
            <v>0050</v>
          </cell>
          <cell r="D167" t="str">
            <v>3707</v>
          </cell>
          <cell r="F167" t="str">
            <v>P/OFF.</v>
          </cell>
          <cell r="G167">
            <v>2</v>
          </cell>
          <cell r="H167">
            <v>0.12</v>
          </cell>
        </row>
        <row r="168">
          <cell r="A168" t="str">
            <v>21</v>
          </cell>
          <cell r="B168">
            <v>3008232</v>
          </cell>
          <cell r="C168" t="str">
            <v>0040</v>
          </cell>
          <cell r="D168" t="str">
            <v>3707</v>
          </cell>
          <cell r="E168" t="str">
            <v>BRG.PLATE VARNIER BRKT.</v>
          </cell>
          <cell r="F168" t="str">
            <v>NOTCH &amp; PIR</v>
          </cell>
          <cell r="G168">
            <v>2</v>
          </cell>
          <cell r="H168">
            <v>0.18</v>
          </cell>
        </row>
        <row r="169">
          <cell r="A169" t="str">
            <v>21</v>
          </cell>
          <cell r="B169" t="str">
            <v>3008233</v>
          </cell>
          <cell r="C169" t="str">
            <v>0040</v>
          </cell>
          <cell r="D169" t="str">
            <v>3707</v>
          </cell>
          <cell r="E169" t="str">
            <v>BRG.PLATE VARNIER BRKT.LH.</v>
          </cell>
          <cell r="F169" t="str">
            <v>NOTCH &amp; PIR</v>
          </cell>
          <cell r="G169">
            <v>2</v>
          </cell>
          <cell r="H169">
            <v>0.18</v>
          </cell>
        </row>
        <row r="170">
          <cell r="A170" t="str">
            <v>ISZ21</v>
          </cell>
          <cell r="B170" t="str">
            <v>4041106004</v>
          </cell>
          <cell r="C170" t="str">
            <v>0030</v>
          </cell>
          <cell r="D170" t="str">
            <v>3707</v>
          </cell>
          <cell r="E170" t="str">
            <v>AXLE HSG.COVER-SALISBURY</v>
          </cell>
          <cell r="F170" t="str">
            <v>DRAW</v>
          </cell>
          <cell r="G170">
            <v>2</v>
          </cell>
          <cell r="H170">
            <v>0.16</v>
          </cell>
        </row>
        <row r="171">
          <cell r="A171" t="str">
            <v>ISZ21</v>
          </cell>
          <cell r="B171" t="str">
            <v>4041106004</v>
          </cell>
          <cell r="C171" t="str">
            <v>0040</v>
          </cell>
          <cell r="D171" t="str">
            <v>3707</v>
          </cell>
          <cell r="E171" t="str">
            <v>AXLE HSG.COVER-SALISBURY</v>
          </cell>
          <cell r="F171" t="str">
            <v>TRIM ALLROUND</v>
          </cell>
          <cell r="G171">
            <v>2</v>
          </cell>
          <cell r="H171">
            <v>0.18</v>
          </cell>
        </row>
        <row r="172">
          <cell r="A172" t="str">
            <v>ISZ21</v>
          </cell>
          <cell r="B172" t="str">
            <v>4041106004</v>
          </cell>
          <cell r="C172" t="str">
            <v>0050</v>
          </cell>
          <cell r="D172" t="str">
            <v>3707</v>
          </cell>
          <cell r="E172" t="str">
            <v>AXLE HSG.COVER-SALISBURY</v>
          </cell>
          <cell r="F172" t="str">
            <v>FLG.&amp; RESTRIKE</v>
          </cell>
          <cell r="G172">
            <v>2</v>
          </cell>
          <cell r="H172">
            <v>0.14000000000000001</v>
          </cell>
        </row>
        <row r="173">
          <cell r="A173" t="str">
            <v>ISZ21</v>
          </cell>
          <cell r="B173" t="str">
            <v>4041106004</v>
          </cell>
          <cell r="C173" t="str">
            <v>0060</v>
          </cell>
          <cell r="D173" t="str">
            <v>3707</v>
          </cell>
          <cell r="E173" t="str">
            <v>AXLE HSG.COVER-SALISBURY</v>
          </cell>
          <cell r="F173" t="str">
            <v>PIERCE</v>
          </cell>
          <cell r="G173">
            <v>2</v>
          </cell>
          <cell r="H173">
            <v>0.14000000000000001</v>
          </cell>
        </row>
        <row r="174">
          <cell r="A174" t="str">
            <v>21</v>
          </cell>
          <cell r="B174" t="str">
            <v>3027073</v>
          </cell>
          <cell r="C174" t="str">
            <v>0030</v>
          </cell>
          <cell r="D174" t="str">
            <v>3707</v>
          </cell>
          <cell r="F174" t="str">
            <v>N&amp;P. 2 STG</v>
          </cell>
          <cell r="G174">
            <v>2</v>
          </cell>
          <cell r="H174">
            <v>0.18</v>
          </cell>
        </row>
        <row r="175">
          <cell r="A175" t="str">
            <v>21</v>
          </cell>
          <cell r="B175" t="str">
            <v>3018805</v>
          </cell>
          <cell r="C175" t="str">
            <v>0020</v>
          </cell>
          <cell r="D175" t="str">
            <v>3707</v>
          </cell>
          <cell r="E175" t="str">
            <v>REINF.DASH CENTRE TO RAIL</v>
          </cell>
          <cell r="F175" t="str">
            <v>BLANK &amp; PIR.</v>
          </cell>
          <cell r="G175">
            <v>2</v>
          </cell>
          <cell r="H175">
            <v>0.16</v>
          </cell>
        </row>
        <row r="176">
          <cell r="A176" t="str">
            <v>CNG21</v>
          </cell>
          <cell r="B176" t="str">
            <v>4080108042</v>
          </cell>
          <cell r="C176" t="str">
            <v>0040</v>
          </cell>
          <cell r="D176" t="str">
            <v>3707</v>
          </cell>
          <cell r="E176" t="str">
            <v>FUEL TANK UPPER - 5.0L CNG</v>
          </cell>
          <cell r="F176" t="str">
            <v>DRAW</v>
          </cell>
          <cell r="G176">
            <v>2</v>
          </cell>
          <cell r="H176">
            <v>0.22</v>
          </cell>
        </row>
        <row r="177">
          <cell r="A177" t="str">
            <v>CNG21</v>
          </cell>
          <cell r="B177" t="str">
            <v>4080108042</v>
          </cell>
          <cell r="C177" t="str">
            <v>0050</v>
          </cell>
          <cell r="D177" t="str">
            <v>3707</v>
          </cell>
          <cell r="E177" t="str">
            <v>FUEL TANK UPPER - 5.0L CNG</v>
          </cell>
          <cell r="F177" t="str">
            <v>RESTRIKE</v>
          </cell>
          <cell r="G177">
            <v>2</v>
          </cell>
          <cell r="H177">
            <v>0.16</v>
          </cell>
        </row>
        <row r="178">
          <cell r="A178" t="str">
            <v>CNG21</v>
          </cell>
          <cell r="B178" t="str">
            <v>4080108042</v>
          </cell>
          <cell r="C178" t="str">
            <v>0060</v>
          </cell>
          <cell r="D178" t="str">
            <v>3707</v>
          </cell>
          <cell r="E178" t="str">
            <v>FUEL TANK UPPER - 5.0L CNG</v>
          </cell>
          <cell r="F178" t="str">
            <v>TRIL ALLROUND</v>
          </cell>
          <cell r="G178">
            <v>2</v>
          </cell>
          <cell r="H178">
            <v>0.18</v>
          </cell>
        </row>
        <row r="179">
          <cell r="A179" t="str">
            <v>CNG21</v>
          </cell>
          <cell r="B179" t="str">
            <v>4080108042</v>
          </cell>
          <cell r="C179" t="str">
            <v>0070</v>
          </cell>
          <cell r="D179" t="str">
            <v>3707</v>
          </cell>
          <cell r="E179" t="str">
            <v>FUEL TANK UPPER - 5.0L CNG</v>
          </cell>
          <cell r="F179" t="str">
            <v>PIERCE</v>
          </cell>
          <cell r="G179">
            <v>2</v>
          </cell>
          <cell r="H179">
            <v>0.12</v>
          </cell>
        </row>
        <row r="180">
          <cell r="A180" t="str">
            <v>CNG21</v>
          </cell>
          <cell r="B180" t="str">
            <v>4080108042</v>
          </cell>
          <cell r="C180" t="str">
            <v>0080</v>
          </cell>
          <cell r="D180" t="str">
            <v>3707</v>
          </cell>
          <cell r="E180" t="str">
            <v>FUEL TANK UPPER - 5.0L CNG</v>
          </cell>
          <cell r="F180" t="str">
            <v>PLUNGE</v>
          </cell>
          <cell r="G180">
            <v>2</v>
          </cell>
          <cell r="H180">
            <v>0.13</v>
          </cell>
        </row>
        <row r="181">
          <cell r="A181" t="str">
            <v>CNG21</v>
          </cell>
          <cell r="B181" t="str">
            <v>4080108043</v>
          </cell>
          <cell r="C181" t="str">
            <v>0040</v>
          </cell>
          <cell r="D181" t="str">
            <v>3707</v>
          </cell>
          <cell r="E181" t="str">
            <v>FUEL TANK LOWER - 5.0L CNG</v>
          </cell>
          <cell r="F181" t="str">
            <v>DRAW</v>
          </cell>
          <cell r="G181">
            <v>2</v>
          </cell>
          <cell r="H181">
            <v>0.22</v>
          </cell>
        </row>
        <row r="182">
          <cell r="A182" t="str">
            <v>CNG21</v>
          </cell>
          <cell r="B182" t="str">
            <v>4080108043</v>
          </cell>
          <cell r="C182" t="str">
            <v>0050</v>
          </cell>
          <cell r="D182" t="str">
            <v>3707</v>
          </cell>
          <cell r="E182" t="str">
            <v>FUEL TANK LOWER - 5.0L CNG</v>
          </cell>
          <cell r="F182" t="str">
            <v>RESTRIKE</v>
          </cell>
          <cell r="G182">
            <v>2</v>
          </cell>
          <cell r="H182">
            <v>0.16</v>
          </cell>
        </row>
        <row r="183">
          <cell r="A183" t="str">
            <v>CNG21</v>
          </cell>
          <cell r="B183" t="str">
            <v>4080108043</v>
          </cell>
          <cell r="C183" t="str">
            <v>0060</v>
          </cell>
          <cell r="D183" t="str">
            <v>3707</v>
          </cell>
          <cell r="E183" t="str">
            <v>FUEL TANK LOWER - 5.0L CNG</v>
          </cell>
          <cell r="F183" t="str">
            <v>TRIL ALLROUND</v>
          </cell>
          <cell r="G183">
            <v>2</v>
          </cell>
          <cell r="H183">
            <v>0.18</v>
          </cell>
        </row>
        <row r="184">
          <cell r="A184" t="str">
            <v>CNG21</v>
          </cell>
          <cell r="B184" t="str">
            <v>4080108043</v>
          </cell>
          <cell r="C184" t="str">
            <v>0061</v>
          </cell>
          <cell r="D184" t="str">
            <v>3707</v>
          </cell>
          <cell r="E184" t="str">
            <v>FUEL TANK LOWER - 5.0L CNG</v>
          </cell>
          <cell r="F184" t="str">
            <v>COMB.40 TO 60</v>
          </cell>
          <cell r="G184">
            <v>6</v>
          </cell>
          <cell r="H184">
            <v>0.22</v>
          </cell>
        </row>
        <row r="185">
          <cell r="A185" t="str">
            <v>21</v>
          </cell>
          <cell r="B185" t="str">
            <v>4302106102</v>
          </cell>
          <cell r="C185" t="str">
            <v>0075</v>
          </cell>
          <cell r="D185" t="str">
            <v>3707</v>
          </cell>
          <cell r="F185" t="str">
            <v>"I" NOTCH</v>
          </cell>
          <cell r="G185">
            <v>2</v>
          </cell>
          <cell r="H185">
            <v>0.22</v>
          </cell>
        </row>
        <row r="186">
          <cell r="A186" t="str">
            <v>21R</v>
          </cell>
          <cell r="B186" t="str">
            <v>4302108222</v>
          </cell>
          <cell r="C186" t="str">
            <v>0010</v>
          </cell>
          <cell r="D186" t="str">
            <v>3707</v>
          </cell>
          <cell r="E186" t="str">
            <v>REINF.FEN.LWR.BUMPERMTG.RH.</v>
          </cell>
          <cell r="F186" t="str">
            <v>BLANK &amp; PIERCE</v>
          </cell>
          <cell r="G186">
            <v>2</v>
          </cell>
          <cell r="H186">
            <v>0.15</v>
          </cell>
        </row>
        <row r="187">
          <cell r="A187" t="str">
            <v>21R</v>
          </cell>
          <cell r="B187" t="str">
            <v>4302108223</v>
          </cell>
          <cell r="C187" t="str">
            <v>0010</v>
          </cell>
          <cell r="D187" t="str">
            <v>3707</v>
          </cell>
          <cell r="E187" t="str">
            <v>REINF.FEN.LWR.BUMPERMTG.LH.</v>
          </cell>
          <cell r="F187" t="str">
            <v>BLANK &amp; PIERCE</v>
          </cell>
          <cell r="G187">
            <v>2</v>
          </cell>
          <cell r="H187">
            <v>0.15</v>
          </cell>
        </row>
        <row r="188">
          <cell r="A188" t="str">
            <v>21R</v>
          </cell>
          <cell r="B188" t="str">
            <v>4302106143</v>
          </cell>
          <cell r="C188" t="str">
            <v>0090</v>
          </cell>
          <cell r="D188" t="str">
            <v>3707</v>
          </cell>
          <cell r="E188" t="str">
            <v>PNL.EXTN.FRT.FEN.LH.</v>
          </cell>
          <cell r="F188" t="str">
            <v>PIERCE C/O</v>
          </cell>
          <cell r="G188">
            <v>2</v>
          </cell>
          <cell r="H188">
            <v>0.26</v>
          </cell>
        </row>
        <row r="189">
          <cell r="A189" t="str">
            <v>21R</v>
          </cell>
          <cell r="B189" t="str">
            <v>4302106142</v>
          </cell>
          <cell r="C189" t="str">
            <v>0090</v>
          </cell>
          <cell r="D189" t="str">
            <v>3707</v>
          </cell>
          <cell r="E189" t="str">
            <v>PNL.EXTN.FRT.FEN.RH.</v>
          </cell>
          <cell r="F189" t="str">
            <v>PIERCE C/O</v>
          </cell>
          <cell r="G189">
            <v>2</v>
          </cell>
          <cell r="H189">
            <v>0.26</v>
          </cell>
        </row>
        <row r="190">
          <cell r="A190" t="str">
            <v>21R</v>
          </cell>
          <cell r="B190" t="str">
            <v>4302106142</v>
          </cell>
          <cell r="C190" t="str">
            <v>0100</v>
          </cell>
          <cell r="D190" t="str">
            <v>3707</v>
          </cell>
          <cell r="E190" t="str">
            <v>PNL.EXTN.FRT.FEN.RH.</v>
          </cell>
          <cell r="F190" t="str">
            <v>PLUNGE</v>
          </cell>
          <cell r="G190">
            <v>2</v>
          </cell>
          <cell r="H190">
            <v>0.26</v>
          </cell>
        </row>
        <row r="191">
          <cell r="A191" t="str">
            <v>21R</v>
          </cell>
          <cell r="B191" t="str">
            <v>4302106143</v>
          </cell>
          <cell r="C191" t="str">
            <v>0100</v>
          </cell>
          <cell r="D191" t="str">
            <v>3707</v>
          </cell>
          <cell r="E191" t="str">
            <v>PNL.EXTN.FRT.FEN.RH.</v>
          </cell>
          <cell r="F191" t="str">
            <v>PLUNGE</v>
          </cell>
          <cell r="G191">
            <v>2</v>
          </cell>
          <cell r="H191">
            <v>0.26</v>
          </cell>
        </row>
        <row r="192">
          <cell r="A192" t="str">
            <v>21R</v>
          </cell>
          <cell r="B192" t="str">
            <v>4302106143</v>
          </cell>
          <cell r="C192" t="str">
            <v>0110</v>
          </cell>
          <cell r="D192" t="str">
            <v>3707</v>
          </cell>
          <cell r="E192" t="str">
            <v>PNL.EXTN.FRT.FEN.LH.</v>
          </cell>
          <cell r="F192" t="str">
            <v>FLANGE 2 STGS.</v>
          </cell>
          <cell r="G192">
            <v>3</v>
          </cell>
          <cell r="H192">
            <v>0.26</v>
          </cell>
        </row>
        <row r="193">
          <cell r="A193" t="str">
            <v>21R</v>
          </cell>
          <cell r="B193" t="str">
            <v>4302106142</v>
          </cell>
          <cell r="C193" t="str">
            <v>0110</v>
          </cell>
          <cell r="D193" t="str">
            <v>3707</v>
          </cell>
          <cell r="E193" t="str">
            <v>PNL.EXTN.FRT.FEN.RH.</v>
          </cell>
          <cell r="F193" t="str">
            <v>FLANGE 2 STGS.</v>
          </cell>
          <cell r="G193">
            <v>3</v>
          </cell>
          <cell r="H193">
            <v>0.26</v>
          </cell>
        </row>
        <row r="194">
          <cell r="A194" t="str">
            <v>21R</v>
          </cell>
          <cell r="B194" t="str">
            <v>4302108222</v>
          </cell>
          <cell r="C194" t="str">
            <v>0015</v>
          </cell>
          <cell r="D194" t="str">
            <v>3707</v>
          </cell>
          <cell r="F194" t="str">
            <v>FLG.&amp; EMBOSS</v>
          </cell>
          <cell r="G194">
            <v>2</v>
          </cell>
          <cell r="H194">
            <v>0.15</v>
          </cell>
        </row>
        <row r="195">
          <cell r="A195" t="str">
            <v>21R</v>
          </cell>
          <cell r="B195" t="str">
            <v>4302108223</v>
          </cell>
          <cell r="C195" t="str">
            <v>0015</v>
          </cell>
          <cell r="D195" t="str">
            <v>3707</v>
          </cell>
          <cell r="F195" t="str">
            <v>FLG.&amp; EMBOSS</v>
          </cell>
          <cell r="G195">
            <v>2</v>
          </cell>
          <cell r="H195">
            <v>0.15</v>
          </cell>
        </row>
        <row r="196">
          <cell r="A196" t="str">
            <v>21</v>
          </cell>
          <cell r="B196" t="str">
            <v>3048655</v>
          </cell>
          <cell r="C196" t="str">
            <v>1120</v>
          </cell>
          <cell r="D196" t="str">
            <v>3707</v>
          </cell>
          <cell r="E196" t="str">
            <v>BRKT.PIVOT TOP</v>
          </cell>
          <cell r="F196" t="str">
            <v>BLANK</v>
          </cell>
          <cell r="G196">
            <v>2</v>
          </cell>
          <cell r="H196">
            <v>0.17</v>
          </cell>
        </row>
        <row r="197">
          <cell r="A197" t="str">
            <v>21</v>
          </cell>
          <cell r="B197" t="str">
            <v>3048655</v>
          </cell>
          <cell r="C197" t="str">
            <v>1130</v>
          </cell>
          <cell r="D197" t="str">
            <v>3707</v>
          </cell>
          <cell r="E197" t="str">
            <v>BRKT.PIVOT TOP</v>
          </cell>
          <cell r="F197" t="str">
            <v>FORM &amp; FLANGE</v>
          </cell>
          <cell r="G197">
            <v>2</v>
          </cell>
          <cell r="H197">
            <v>0.13</v>
          </cell>
        </row>
        <row r="198">
          <cell r="A198" t="str">
            <v>21</v>
          </cell>
          <cell r="B198" t="str">
            <v>3048655</v>
          </cell>
          <cell r="C198" t="str">
            <v>1140</v>
          </cell>
          <cell r="D198" t="str">
            <v>3707</v>
          </cell>
          <cell r="E198" t="str">
            <v>BRKT.PIVOT TOP</v>
          </cell>
          <cell r="F198" t="str">
            <v>PIERCE</v>
          </cell>
          <cell r="G198">
            <v>2</v>
          </cell>
          <cell r="H198">
            <v>0.13</v>
          </cell>
        </row>
        <row r="199">
          <cell r="A199" t="str">
            <v>21</v>
          </cell>
          <cell r="B199" t="str">
            <v>3048655</v>
          </cell>
          <cell r="C199" t="str">
            <v>1150</v>
          </cell>
          <cell r="D199" t="str">
            <v>3707</v>
          </cell>
          <cell r="E199" t="str">
            <v>BRKT.PIVOT TOP</v>
          </cell>
          <cell r="F199" t="str">
            <v>CAM PIERCE</v>
          </cell>
          <cell r="G199">
            <v>2</v>
          </cell>
          <cell r="H199">
            <v>0.16</v>
          </cell>
        </row>
        <row r="200">
          <cell r="A200" t="str">
            <v>21</v>
          </cell>
          <cell r="B200" t="str">
            <v>3048655</v>
          </cell>
          <cell r="C200" t="str">
            <v>0051</v>
          </cell>
          <cell r="D200" t="str">
            <v>3707</v>
          </cell>
          <cell r="E200" t="str">
            <v>BRKT.PIVOT TOP</v>
          </cell>
          <cell r="F200" t="str">
            <v>LO(20,30,40,50</v>
          </cell>
          <cell r="G200">
            <v>8</v>
          </cell>
          <cell r="H200">
            <v>0.17</v>
          </cell>
        </row>
        <row r="201">
          <cell r="A201" t="str">
            <v>CNG21</v>
          </cell>
          <cell r="B201" t="str">
            <v>4080108042</v>
          </cell>
          <cell r="C201" t="str">
            <v>0081</v>
          </cell>
          <cell r="D201" t="str">
            <v>3707</v>
          </cell>
          <cell r="F201" t="str">
            <v>CONB.40 TO 80</v>
          </cell>
          <cell r="G201">
            <v>10</v>
          </cell>
          <cell r="H201">
            <v>0.22</v>
          </cell>
        </row>
        <row r="202">
          <cell r="A202" t="str">
            <v>21</v>
          </cell>
          <cell r="B202" t="str">
            <v>3048659</v>
          </cell>
          <cell r="C202" t="str">
            <v>0030</v>
          </cell>
          <cell r="D202" t="str">
            <v>3707</v>
          </cell>
          <cell r="E202" t="str">
            <v>UPPER ARM STRAIGHT</v>
          </cell>
          <cell r="F202" t="str">
            <v>BLANK &amp; PIR.</v>
          </cell>
          <cell r="G202">
            <v>2</v>
          </cell>
          <cell r="H202">
            <v>0.15</v>
          </cell>
        </row>
        <row r="203">
          <cell r="A203" t="str">
            <v>21</v>
          </cell>
          <cell r="B203" t="str">
            <v>3048660</v>
          </cell>
          <cell r="C203" t="str">
            <v>0030</v>
          </cell>
          <cell r="D203" t="str">
            <v>3707</v>
          </cell>
          <cell r="E203" t="str">
            <v>UPPER ARM JOGGLE</v>
          </cell>
          <cell r="F203" t="str">
            <v>BLANK &amp; PIR.</v>
          </cell>
          <cell r="G203">
            <v>2</v>
          </cell>
          <cell r="H203">
            <v>0.15</v>
          </cell>
        </row>
        <row r="204">
          <cell r="A204" t="str">
            <v>21</v>
          </cell>
          <cell r="B204" t="str">
            <v>3048660</v>
          </cell>
          <cell r="C204" t="str">
            <v>0040</v>
          </cell>
          <cell r="D204" t="str">
            <v>3707</v>
          </cell>
          <cell r="E204" t="str">
            <v>UPPER ARM JOGGLE</v>
          </cell>
          <cell r="F204" t="str">
            <v>FORM &amp; FLG.</v>
          </cell>
          <cell r="G204">
            <v>2</v>
          </cell>
          <cell r="H204">
            <v>0.18</v>
          </cell>
        </row>
        <row r="205">
          <cell r="A205" t="str">
            <v>21</v>
          </cell>
          <cell r="B205" t="str">
            <v>3048659</v>
          </cell>
          <cell r="C205" t="str">
            <v>0040</v>
          </cell>
          <cell r="D205" t="str">
            <v>3707</v>
          </cell>
          <cell r="E205" t="str">
            <v>UPPER ARM STRAIGHT</v>
          </cell>
          <cell r="F205" t="str">
            <v>FORM &amp; FLG.</v>
          </cell>
          <cell r="G205">
            <v>2</v>
          </cell>
          <cell r="H205">
            <v>0.18</v>
          </cell>
        </row>
        <row r="206">
          <cell r="A206" t="str">
            <v>21</v>
          </cell>
          <cell r="B206" t="str">
            <v>3048659</v>
          </cell>
          <cell r="C206" t="str">
            <v>0050</v>
          </cell>
          <cell r="D206" t="str">
            <v>3707</v>
          </cell>
          <cell r="E206" t="str">
            <v>UPPER ARM STRAIGHT</v>
          </cell>
          <cell r="F206" t="str">
            <v>FINAL FORM</v>
          </cell>
          <cell r="G206">
            <v>2</v>
          </cell>
          <cell r="H206">
            <v>0.09</v>
          </cell>
        </row>
        <row r="207">
          <cell r="A207" t="str">
            <v>21</v>
          </cell>
          <cell r="B207" t="str">
            <v>3048660</v>
          </cell>
          <cell r="C207" t="str">
            <v>0050</v>
          </cell>
          <cell r="D207" t="str">
            <v>3707</v>
          </cell>
          <cell r="E207" t="str">
            <v>UPPER ARM JOGGLE</v>
          </cell>
          <cell r="F207" t="str">
            <v>FINAL FORM</v>
          </cell>
          <cell r="G207">
            <v>2</v>
          </cell>
          <cell r="H207">
            <v>0.09</v>
          </cell>
        </row>
        <row r="208">
          <cell r="A208" t="str">
            <v>21</v>
          </cell>
          <cell r="B208" t="str">
            <v>3048660</v>
          </cell>
          <cell r="C208" t="str">
            <v>0051</v>
          </cell>
          <cell r="D208" t="str">
            <v>3707</v>
          </cell>
          <cell r="E208" t="str">
            <v>UPPER ARM JOGGLE</v>
          </cell>
          <cell r="F208" t="str">
            <v>COMB.30,40,50</v>
          </cell>
          <cell r="G208">
            <v>6</v>
          </cell>
          <cell r="H208">
            <v>0.42</v>
          </cell>
        </row>
        <row r="209">
          <cell r="A209" t="str">
            <v>21</v>
          </cell>
          <cell r="B209" t="str">
            <v>3048659</v>
          </cell>
          <cell r="C209" t="str">
            <v>0051</v>
          </cell>
          <cell r="D209" t="str">
            <v>3707</v>
          </cell>
          <cell r="E209" t="str">
            <v>UPPER ARM STRAIGHT</v>
          </cell>
          <cell r="F209" t="str">
            <v>COMB.30,40,50</v>
          </cell>
          <cell r="G209">
            <v>6</v>
          </cell>
          <cell r="H209">
            <v>0.42</v>
          </cell>
        </row>
        <row r="210">
          <cell r="B210" t="str">
            <v>3018290</v>
          </cell>
          <cell r="C210" t="str">
            <v>0065</v>
          </cell>
          <cell r="D210" t="str">
            <v>3707</v>
          </cell>
          <cell r="F210" t="str">
            <v>PIERCE CIR HOL</v>
          </cell>
          <cell r="G210">
            <v>2</v>
          </cell>
          <cell r="H210">
            <v>0.22</v>
          </cell>
        </row>
        <row r="211">
          <cell r="A211" t="str">
            <v>21</v>
          </cell>
          <cell r="B211" t="str">
            <v>4370106015</v>
          </cell>
          <cell r="C211" t="str">
            <v>0020</v>
          </cell>
          <cell r="D211" t="str">
            <v>3707</v>
          </cell>
          <cell r="E211" t="str">
            <v>SEAT MTG.BRKT.OUTBOARD RH.</v>
          </cell>
          <cell r="F211" t="str">
            <v>BLANK &amp; PIERCE</v>
          </cell>
          <cell r="G211">
            <v>2</v>
          </cell>
          <cell r="H211">
            <v>0.13</v>
          </cell>
        </row>
        <row r="212">
          <cell r="A212" t="str">
            <v>21</v>
          </cell>
          <cell r="B212" t="str">
            <v>4370106016</v>
          </cell>
          <cell r="C212" t="str">
            <v>0020</v>
          </cell>
          <cell r="D212" t="str">
            <v>3707</v>
          </cell>
          <cell r="E212" t="str">
            <v>SEAT MTG.BRKT.OUTBOARD LH.</v>
          </cell>
          <cell r="F212" t="str">
            <v>BLANK &amp; PIERCE</v>
          </cell>
          <cell r="G212">
            <v>2</v>
          </cell>
          <cell r="H212">
            <v>0.13</v>
          </cell>
        </row>
        <row r="213">
          <cell r="A213" t="str">
            <v>21</v>
          </cell>
          <cell r="B213" t="str">
            <v>4370106019</v>
          </cell>
          <cell r="C213" t="str">
            <v>0020</v>
          </cell>
          <cell r="D213" t="str">
            <v>3707</v>
          </cell>
          <cell r="E213" t="str">
            <v>SEAT MTG.BRKT.INBOARD RH.</v>
          </cell>
          <cell r="F213" t="str">
            <v>BLANK &amp; PIERCE</v>
          </cell>
          <cell r="G213">
            <v>2</v>
          </cell>
          <cell r="H213">
            <v>0.13</v>
          </cell>
        </row>
        <row r="214">
          <cell r="A214" t="str">
            <v>21</v>
          </cell>
          <cell r="B214" t="str">
            <v>4370106020</v>
          </cell>
          <cell r="C214" t="str">
            <v>0020</v>
          </cell>
          <cell r="D214" t="str">
            <v>3707</v>
          </cell>
          <cell r="E214" t="str">
            <v>SEAT MTG.BRKT.INBOARD LH.</v>
          </cell>
          <cell r="F214" t="str">
            <v>BLANK &amp; PIERCE</v>
          </cell>
          <cell r="G214">
            <v>2</v>
          </cell>
          <cell r="H214">
            <v>0.13</v>
          </cell>
        </row>
        <row r="215">
          <cell r="A215" t="str">
            <v>21</v>
          </cell>
          <cell r="B215" t="str">
            <v>4370106020</v>
          </cell>
          <cell r="C215" t="str">
            <v>0030</v>
          </cell>
          <cell r="D215" t="str">
            <v>3707</v>
          </cell>
          <cell r="E215" t="str">
            <v>SEAT MTG.BRKT.INBOARD LH.</v>
          </cell>
          <cell r="F215" t="str">
            <v>FLANGE</v>
          </cell>
          <cell r="G215">
            <v>2</v>
          </cell>
          <cell r="H215">
            <v>0.12</v>
          </cell>
        </row>
        <row r="216">
          <cell r="A216" t="str">
            <v>21</v>
          </cell>
          <cell r="B216" t="str">
            <v>4370106019</v>
          </cell>
          <cell r="C216" t="str">
            <v>0030</v>
          </cell>
          <cell r="D216" t="str">
            <v>3707</v>
          </cell>
          <cell r="E216" t="str">
            <v>SEAT MTG.BRKT.INBOARD RH.</v>
          </cell>
          <cell r="F216" t="str">
            <v>FLANGE</v>
          </cell>
          <cell r="G216">
            <v>2</v>
          </cell>
          <cell r="H216">
            <v>0.12</v>
          </cell>
        </row>
        <row r="217">
          <cell r="A217" t="str">
            <v>21</v>
          </cell>
          <cell r="B217" t="str">
            <v>4370106015</v>
          </cell>
          <cell r="C217" t="str">
            <v>0030</v>
          </cell>
          <cell r="D217" t="str">
            <v>3707</v>
          </cell>
          <cell r="E217" t="str">
            <v>SEAT MTG.BRKT.OUTBOARD RH.</v>
          </cell>
          <cell r="F217" t="str">
            <v>FLANGE</v>
          </cell>
          <cell r="G217">
            <v>2</v>
          </cell>
          <cell r="H217">
            <v>0.12</v>
          </cell>
        </row>
        <row r="218">
          <cell r="A218" t="str">
            <v>21</v>
          </cell>
          <cell r="B218" t="str">
            <v>4370106016</v>
          </cell>
          <cell r="C218" t="str">
            <v>0030</v>
          </cell>
          <cell r="D218" t="str">
            <v>3707</v>
          </cell>
          <cell r="E218" t="str">
            <v>SEAT MTG.BRKT.OUTBOARD LH.</v>
          </cell>
          <cell r="F218" t="str">
            <v>FLANGE</v>
          </cell>
          <cell r="G218">
            <v>2</v>
          </cell>
          <cell r="H218">
            <v>0.12</v>
          </cell>
        </row>
        <row r="219">
          <cell r="A219" t="str">
            <v>21</v>
          </cell>
          <cell r="B219" t="str">
            <v>4370106016</v>
          </cell>
          <cell r="C219" t="str">
            <v>0040</v>
          </cell>
          <cell r="D219" t="str">
            <v>3707</v>
          </cell>
          <cell r="E219" t="str">
            <v>SEAT MTG.BRKT.OUTBOARD LH.</v>
          </cell>
          <cell r="F219" t="str">
            <v>FORM</v>
          </cell>
          <cell r="G219">
            <v>2</v>
          </cell>
          <cell r="H219">
            <v>0.12</v>
          </cell>
        </row>
        <row r="220">
          <cell r="A220" t="str">
            <v>21</v>
          </cell>
          <cell r="B220" t="str">
            <v>4370106015</v>
          </cell>
          <cell r="C220" t="str">
            <v>0040</v>
          </cell>
          <cell r="D220" t="str">
            <v>3707</v>
          </cell>
          <cell r="E220" t="str">
            <v>SEAT MTG.BRKT.OUTBOARD RH.</v>
          </cell>
          <cell r="F220" t="str">
            <v>FORM</v>
          </cell>
          <cell r="G220">
            <v>2</v>
          </cell>
          <cell r="H220">
            <v>0.12</v>
          </cell>
        </row>
        <row r="221">
          <cell r="A221" t="str">
            <v>21</v>
          </cell>
          <cell r="B221" t="str">
            <v>4370106019</v>
          </cell>
          <cell r="C221" t="str">
            <v>0040</v>
          </cell>
          <cell r="D221" t="str">
            <v>3707</v>
          </cell>
          <cell r="E221" t="str">
            <v>SEAT MTG.BRKT.INBOARD RH.</v>
          </cell>
          <cell r="F221" t="str">
            <v>FORM</v>
          </cell>
          <cell r="G221">
            <v>2</v>
          </cell>
          <cell r="H221">
            <v>0.12</v>
          </cell>
        </row>
        <row r="222">
          <cell r="A222" t="str">
            <v>21</v>
          </cell>
          <cell r="B222" t="str">
            <v>4370106020</v>
          </cell>
          <cell r="C222" t="str">
            <v>0040</v>
          </cell>
          <cell r="D222" t="str">
            <v>3707</v>
          </cell>
          <cell r="E222" t="str">
            <v>SEAT MTG.BRKT.INBOARD LH.</v>
          </cell>
          <cell r="F222" t="str">
            <v>FORM</v>
          </cell>
          <cell r="G222">
            <v>2</v>
          </cell>
          <cell r="H222">
            <v>0.12</v>
          </cell>
        </row>
        <row r="223">
          <cell r="A223" t="str">
            <v>21A/C</v>
          </cell>
          <cell r="B223" t="str">
            <v>4080108064</v>
          </cell>
          <cell r="C223" t="str">
            <v>0040</v>
          </cell>
          <cell r="D223" t="str">
            <v>3707</v>
          </cell>
          <cell r="E223" t="str">
            <v>SWIRL POT</v>
          </cell>
          <cell r="F223" t="str">
            <v>DRAW</v>
          </cell>
          <cell r="G223">
            <v>2</v>
          </cell>
          <cell r="H223">
            <v>0.17</v>
          </cell>
        </row>
        <row r="224">
          <cell r="A224" t="str">
            <v>21A/C</v>
          </cell>
          <cell r="B224" t="str">
            <v>4080108064</v>
          </cell>
          <cell r="C224" t="str">
            <v>0050</v>
          </cell>
          <cell r="D224" t="str">
            <v>3707</v>
          </cell>
          <cell r="E224" t="str">
            <v>SWIRL POT</v>
          </cell>
          <cell r="F224" t="str">
            <v>TRIM &amp; PIERCE</v>
          </cell>
          <cell r="G224">
            <v>1</v>
          </cell>
          <cell r="H224">
            <v>0.15</v>
          </cell>
        </row>
        <row r="225">
          <cell r="A225" t="str">
            <v>21</v>
          </cell>
          <cell r="B225" t="str">
            <v>3017696</v>
          </cell>
          <cell r="C225" t="str">
            <v>0020</v>
          </cell>
          <cell r="D225" t="str">
            <v>3707</v>
          </cell>
          <cell r="E225" t="str">
            <v>PNL.FILLER RR.WING RH.</v>
          </cell>
          <cell r="F225" t="str">
            <v>BLANK</v>
          </cell>
          <cell r="G225">
            <v>2</v>
          </cell>
          <cell r="H225">
            <v>0.14000000000000001</v>
          </cell>
        </row>
        <row r="226">
          <cell r="A226" t="str">
            <v>21</v>
          </cell>
          <cell r="B226" t="str">
            <v>3017697</v>
          </cell>
          <cell r="C226" t="str">
            <v>0020</v>
          </cell>
          <cell r="D226" t="str">
            <v>3707</v>
          </cell>
          <cell r="E226" t="str">
            <v>PNL.FILLER RR.WING LH.</v>
          </cell>
          <cell r="F226" t="str">
            <v>BLANK</v>
          </cell>
          <cell r="G226">
            <v>2</v>
          </cell>
          <cell r="H226">
            <v>0.14000000000000001</v>
          </cell>
        </row>
        <row r="227">
          <cell r="A227" t="str">
            <v>21</v>
          </cell>
          <cell r="B227" t="str">
            <v>3017697</v>
          </cell>
          <cell r="C227" t="str">
            <v>0030</v>
          </cell>
          <cell r="D227" t="str">
            <v>3707</v>
          </cell>
          <cell r="E227" t="str">
            <v>PNL.FILLER RR.WING LH.</v>
          </cell>
          <cell r="F227" t="str">
            <v>FORM(R/L.TOGET</v>
          </cell>
          <cell r="G227">
            <v>2</v>
          </cell>
          <cell r="H227">
            <v>0.105</v>
          </cell>
        </row>
        <row r="228">
          <cell r="A228" t="str">
            <v>21</v>
          </cell>
          <cell r="B228" t="str">
            <v>3017696</v>
          </cell>
          <cell r="C228" t="str">
            <v>0030</v>
          </cell>
          <cell r="D228" t="str">
            <v>3707</v>
          </cell>
          <cell r="E228" t="str">
            <v>PNL.FILLER RR.WING RH.</v>
          </cell>
          <cell r="F228" t="str">
            <v>FORM(R/L.TOGET</v>
          </cell>
          <cell r="G228">
            <v>2</v>
          </cell>
          <cell r="H228">
            <v>0.105</v>
          </cell>
        </row>
        <row r="229">
          <cell r="A229" t="str">
            <v>21ISZ</v>
          </cell>
          <cell r="B229" t="str">
            <v>4302108269</v>
          </cell>
          <cell r="C229" t="str">
            <v>0020</v>
          </cell>
          <cell r="D229" t="str">
            <v>3707</v>
          </cell>
          <cell r="E229" t="str">
            <v>MAKE UP PIECE PNL.DASH CENTRE</v>
          </cell>
          <cell r="F229" t="str">
            <v>BLANK &amp; DRAW</v>
          </cell>
          <cell r="G229">
            <v>2</v>
          </cell>
          <cell r="H229">
            <v>0.13</v>
          </cell>
        </row>
        <row r="230">
          <cell r="A230" t="str">
            <v>21</v>
          </cell>
        </row>
        <row r="231">
          <cell r="A231" t="str">
            <v>21</v>
          </cell>
          <cell r="B231" t="str">
            <v>3018412</v>
          </cell>
          <cell r="C231" t="str">
            <v>0030</v>
          </cell>
          <cell r="D231" t="str">
            <v>3716</v>
          </cell>
          <cell r="F231" t="str">
            <v>FORM</v>
          </cell>
          <cell r="G231">
            <v>2</v>
          </cell>
          <cell r="H231">
            <v>0.2</v>
          </cell>
        </row>
        <row r="232">
          <cell r="A232" t="str">
            <v>21</v>
          </cell>
          <cell r="B232" t="str">
            <v>3018412</v>
          </cell>
          <cell r="C232" t="str">
            <v>0020</v>
          </cell>
          <cell r="D232" t="str">
            <v>3716</v>
          </cell>
          <cell r="F232" t="str">
            <v>BLANK</v>
          </cell>
          <cell r="G232">
            <v>3</v>
          </cell>
          <cell r="H232">
            <v>0.2</v>
          </cell>
        </row>
        <row r="233">
          <cell r="A233" t="str">
            <v>21</v>
          </cell>
          <cell r="B233" t="str">
            <v>3018086</v>
          </cell>
          <cell r="C233" t="str">
            <v>0020</v>
          </cell>
          <cell r="D233" t="str">
            <v>3716</v>
          </cell>
          <cell r="E233" t="str">
            <v>PLATE FRONT SUPT A POST</v>
          </cell>
          <cell r="F233" t="str">
            <v>BLANK</v>
          </cell>
          <cell r="G233">
            <v>2</v>
          </cell>
          <cell r="H233">
            <v>0.22</v>
          </cell>
        </row>
        <row r="234">
          <cell r="A234" t="str">
            <v>21</v>
          </cell>
          <cell r="B234" t="str">
            <v>3018086</v>
          </cell>
          <cell r="C234" t="str">
            <v>0030</v>
          </cell>
          <cell r="D234" t="str">
            <v>3716</v>
          </cell>
          <cell r="E234" t="str">
            <v>PLATE FRONT SUPT A POST</v>
          </cell>
          <cell r="F234" t="str">
            <v>FORM RH&amp;LH</v>
          </cell>
          <cell r="G234">
            <v>1</v>
          </cell>
          <cell r="H234">
            <v>0.128</v>
          </cell>
        </row>
        <row r="235">
          <cell r="A235" t="str">
            <v>21</v>
          </cell>
          <cell r="B235" t="str">
            <v>3018087</v>
          </cell>
          <cell r="C235" t="str">
            <v>0020</v>
          </cell>
          <cell r="D235" t="str">
            <v>3716</v>
          </cell>
          <cell r="E235" t="str">
            <v>PLATE FRONT SUPT A POST</v>
          </cell>
          <cell r="F235" t="str">
            <v>BLANK</v>
          </cell>
          <cell r="G235">
            <v>2</v>
          </cell>
          <cell r="H235">
            <v>0.217</v>
          </cell>
        </row>
        <row r="236">
          <cell r="A236" t="str">
            <v>21</v>
          </cell>
          <cell r="B236" t="str">
            <v>3018087</v>
          </cell>
          <cell r="C236" t="str">
            <v>0030</v>
          </cell>
          <cell r="D236" t="str">
            <v>3716</v>
          </cell>
          <cell r="E236" t="str">
            <v>PLATE FRONT SUPT A POST</v>
          </cell>
          <cell r="F236" t="str">
            <v>FORM RH &amp; LH</v>
          </cell>
          <cell r="G236">
            <v>1</v>
          </cell>
          <cell r="H236">
            <v>0.128</v>
          </cell>
        </row>
        <row r="237">
          <cell r="A237" t="str">
            <v>21</v>
          </cell>
          <cell r="B237" t="str">
            <v>3004870</v>
          </cell>
          <cell r="C237" t="str">
            <v>0020</v>
          </cell>
          <cell r="D237" t="str">
            <v>3716</v>
          </cell>
          <cell r="E237" t="str">
            <v>REINF CHASSIS TO DASH UPPER</v>
          </cell>
          <cell r="F237" t="str">
            <v>BLANK &amp; PIERCE</v>
          </cell>
          <cell r="G237">
            <v>2</v>
          </cell>
          <cell r="H237">
            <v>0.21299999999999999</v>
          </cell>
        </row>
        <row r="238">
          <cell r="A238" t="str">
            <v>21</v>
          </cell>
          <cell r="B238" t="str">
            <v>3004870</v>
          </cell>
          <cell r="C238" t="str">
            <v>0030</v>
          </cell>
          <cell r="D238" t="str">
            <v>3716</v>
          </cell>
          <cell r="E238" t="str">
            <v>REINF CHASSIS TO DASH UPPER</v>
          </cell>
          <cell r="F238" t="str">
            <v>DRAW (DOUBLE)</v>
          </cell>
          <cell r="G238">
            <v>2</v>
          </cell>
          <cell r="H238">
            <v>0.217</v>
          </cell>
        </row>
        <row r="239">
          <cell r="A239" t="str">
            <v>21</v>
          </cell>
          <cell r="B239" t="str">
            <v>3004870</v>
          </cell>
          <cell r="C239" t="str">
            <v>0040</v>
          </cell>
          <cell r="D239" t="str">
            <v>3716</v>
          </cell>
          <cell r="E239" t="str">
            <v>REINF CHASSIS TO DASH UPPER</v>
          </cell>
          <cell r="F239" t="str">
            <v>PART OFF</v>
          </cell>
          <cell r="G239">
            <v>2</v>
          </cell>
          <cell r="H239">
            <v>0.109</v>
          </cell>
        </row>
        <row r="240">
          <cell r="A240" t="str">
            <v>21</v>
          </cell>
          <cell r="B240" t="str">
            <v>3004870</v>
          </cell>
          <cell r="C240" t="str">
            <v>0050</v>
          </cell>
          <cell r="D240" t="str">
            <v>3716</v>
          </cell>
          <cell r="E240" t="str">
            <v>REINF CHASSIS TO DASH UPPER</v>
          </cell>
          <cell r="F240" t="str">
            <v>FLANGE(RH &amp;LH)</v>
          </cell>
          <cell r="G240">
            <v>2</v>
          </cell>
          <cell r="H240">
            <v>0.109</v>
          </cell>
        </row>
        <row r="241">
          <cell r="A241" t="str">
            <v>21</v>
          </cell>
          <cell r="B241" t="str">
            <v>3004871</v>
          </cell>
          <cell r="C241" t="str">
            <v>0020</v>
          </cell>
          <cell r="D241" t="str">
            <v>3716</v>
          </cell>
          <cell r="E241" t="str">
            <v>REINF CHASSIS TO DASH UPPER</v>
          </cell>
          <cell r="F241" t="str">
            <v>BLANK &amp; PIERCE</v>
          </cell>
          <cell r="G241">
            <v>2</v>
          </cell>
          <cell r="H241">
            <v>0.21299999999999999</v>
          </cell>
        </row>
        <row r="242">
          <cell r="A242" t="str">
            <v>21</v>
          </cell>
          <cell r="B242" t="str">
            <v>3004871</v>
          </cell>
          <cell r="C242" t="str">
            <v>0030</v>
          </cell>
          <cell r="D242" t="str">
            <v>3716</v>
          </cell>
          <cell r="E242" t="str">
            <v>REINF CHASSIS TO DASH UPPER</v>
          </cell>
          <cell r="F242" t="str">
            <v>DRAW (DOUBLE)</v>
          </cell>
          <cell r="G242">
            <v>2</v>
          </cell>
          <cell r="H242">
            <v>0.217</v>
          </cell>
        </row>
        <row r="243">
          <cell r="A243" t="str">
            <v>21</v>
          </cell>
          <cell r="B243" t="str">
            <v>3004871</v>
          </cell>
          <cell r="C243" t="str">
            <v>0040</v>
          </cell>
          <cell r="D243" t="str">
            <v>3716</v>
          </cell>
          <cell r="E243" t="str">
            <v>REINF CHASSIS TO DASH UPPER</v>
          </cell>
          <cell r="F243" t="str">
            <v>PART OFF</v>
          </cell>
          <cell r="G243">
            <v>2</v>
          </cell>
          <cell r="H243">
            <v>0.109</v>
          </cell>
        </row>
        <row r="244">
          <cell r="A244" t="str">
            <v>21</v>
          </cell>
          <cell r="B244" t="str">
            <v>3004871</v>
          </cell>
          <cell r="C244" t="str">
            <v>0050</v>
          </cell>
          <cell r="D244" t="str">
            <v>3716</v>
          </cell>
          <cell r="E244" t="str">
            <v>REINF CHASSIS TO DASH UPPER</v>
          </cell>
          <cell r="F244" t="str">
            <v>FLANGE (RH&amp;LH)</v>
          </cell>
          <cell r="G244">
            <v>2</v>
          </cell>
          <cell r="H244">
            <v>0.109</v>
          </cell>
        </row>
        <row r="245">
          <cell r="A245" t="str">
            <v>21</v>
          </cell>
          <cell r="B245">
            <v>4370106019</v>
          </cell>
          <cell r="C245" t="str">
            <v>0020</v>
          </cell>
          <cell r="D245" t="str">
            <v>3716</v>
          </cell>
          <cell r="E245" t="str">
            <v>LOWER ARM FRONT</v>
          </cell>
          <cell r="F245" t="str">
            <v>BLANK</v>
          </cell>
          <cell r="G245">
            <v>2</v>
          </cell>
          <cell r="H245">
            <v>0.3</v>
          </cell>
        </row>
        <row r="246">
          <cell r="A246" t="str">
            <v>21</v>
          </cell>
          <cell r="B246" t="str">
            <v>3006155</v>
          </cell>
          <cell r="C246" t="str">
            <v>0030</v>
          </cell>
          <cell r="D246" t="str">
            <v>3716</v>
          </cell>
          <cell r="E246" t="str">
            <v>LOWER ARM FRONT</v>
          </cell>
          <cell r="F246" t="str">
            <v>FORM 2 STAGES</v>
          </cell>
          <cell r="G246">
            <v>2</v>
          </cell>
          <cell r="H246">
            <v>0.246</v>
          </cell>
        </row>
        <row r="247">
          <cell r="A247" t="str">
            <v>PTL21</v>
          </cell>
          <cell r="B247" t="str">
            <v>3006155</v>
          </cell>
          <cell r="C247" t="str">
            <v>0040</v>
          </cell>
          <cell r="D247" t="str">
            <v>3716</v>
          </cell>
          <cell r="E247" t="str">
            <v>LOWER ARM FRONT</v>
          </cell>
          <cell r="F247" t="str">
            <v>PIERCE 2 STAGE</v>
          </cell>
          <cell r="G247">
            <v>2</v>
          </cell>
          <cell r="H247">
            <v>0.224</v>
          </cell>
        </row>
        <row r="248">
          <cell r="A248" t="str">
            <v>PTL21</v>
          </cell>
          <cell r="B248" t="str">
            <v>3037273</v>
          </cell>
          <cell r="C248" t="str">
            <v>0030</v>
          </cell>
          <cell r="D248" t="str">
            <v>3716</v>
          </cell>
          <cell r="E248" t="str">
            <v>CYLINDER SIDE COVER</v>
          </cell>
          <cell r="F248" t="str">
            <v>DRAW</v>
          </cell>
          <cell r="G248">
            <v>1</v>
          </cell>
          <cell r="H248">
            <v>0.16</v>
          </cell>
        </row>
        <row r="249">
          <cell r="A249" t="str">
            <v>PTL21</v>
          </cell>
          <cell r="B249" t="str">
            <v>3037273</v>
          </cell>
          <cell r="C249" t="str">
            <v>0040</v>
          </cell>
          <cell r="D249" t="str">
            <v>3716</v>
          </cell>
          <cell r="E249" t="str">
            <v>CYLINDER SIDE COVER</v>
          </cell>
          <cell r="F249" t="str">
            <v>FLG.</v>
          </cell>
          <cell r="G249">
            <v>1</v>
          </cell>
          <cell r="H249">
            <v>0.14699999999999999</v>
          </cell>
        </row>
        <row r="250">
          <cell r="A250" t="str">
            <v>21</v>
          </cell>
          <cell r="B250" t="str">
            <v>3037156</v>
          </cell>
          <cell r="C250" t="str">
            <v>0040</v>
          </cell>
          <cell r="D250" t="str">
            <v>3716</v>
          </cell>
          <cell r="E250" t="str">
            <v>CYLINDER SIDE COVER PLAIN</v>
          </cell>
          <cell r="F250" t="str">
            <v>RES.</v>
          </cell>
          <cell r="G250">
            <v>1</v>
          </cell>
          <cell r="H250">
            <v>0.14699999999999999</v>
          </cell>
        </row>
        <row r="251">
          <cell r="A251" t="str">
            <v>21</v>
          </cell>
          <cell r="B251" t="str">
            <v>4140128003</v>
          </cell>
          <cell r="C251" t="str">
            <v>0070</v>
          </cell>
          <cell r="D251" t="str">
            <v>3716</v>
          </cell>
          <cell r="E251" t="str">
            <v>END PORTION RR BUM</v>
          </cell>
          <cell r="F251" t="str">
            <v>PIERCE 5 HOLES</v>
          </cell>
          <cell r="G251">
            <v>2</v>
          </cell>
          <cell r="H251">
            <v>0.182</v>
          </cell>
        </row>
        <row r="252">
          <cell r="A252" t="str">
            <v>21</v>
          </cell>
          <cell r="B252" t="str">
            <v>4140128004</v>
          </cell>
          <cell r="C252" t="str">
            <v>0070</v>
          </cell>
          <cell r="D252" t="str">
            <v>3716</v>
          </cell>
          <cell r="E252" t="str">
            <v>END PORTION RR BUM</v>
          </cell>
          <cell r="F252" t="str">
            <v>PIERCE</v>
          </cell>
          <cell r="G252">
            <v>2</v>
          </cell>
          <cell r="H252">
            <v>0.182</v>
          </cell>
        </row>
        <row r="253">
          <cell r="A253" t="str">
            <v>21</v>
          </cell>
          <cell r="B253" t="str">
            <v>3008232</v>
          </cell>
          <cell r="C253" t="str">
            <v>0100</v>
          </cell>
          <cell r="D253" t="str">
            <v>3716</v>
          </cell>
          <cell r="E253" t="str">
            <v>BRG.PLATE VERNIER BRKT.</v>
          </cell>
          <cell r="F253" t="str">
            <v>FLATTEN(RH&amp;LH)</v>
          </cell>
          <cell r="G253">
            <v>2</v>
          </cell>
          <cell r="H253">
            <v>0.13900000000000001</v>
          </cell>
        </row>
        <row r="254">
          <cell r="A254" t="str">
            <v>21</v>
          </cell>
          <cell r="B254" t="str">
            <v>3008233</v>
          </cell>
          <cell r="C254" t="str">
            <v>0100</v>
          </cell>
          <cell r="D254" t="str">
            <v>3716</v>
          </cell>
          <cell r="E254" t="str">
            <v>BRG.PLATE VERNIER BRKT.</v>
          </cell>
          <cell r="F254" t="str">
            <v>FLATTEN(RH&amp;LH)</v>
          </cell>
          <cell r="G254">
            <v>2</v>
          </cell>
          <cell r="H254">
            <v>0.13900000000000001</v>
          </cell>
        </row>
        <row r="255">
          <cell r="A255" t="str">
            <v>21</v>
          </cell>
          <cell r="B255" t="str">
            <v>3016581</v>
          </cell>
          <cell r="C255" t="str">
            <v>0010</v>
          </cell>
          <cell r="D255" t="str">
            <v>3716</v>
          </cell>
          <cell r="E255" t="str">
            <v>RIM HEAD LIGHT</v>
          </cell>
          <cell r="F255" t="str">
            <v>BLANK &amp; PIERCE</v>
          </cell>
          <cell r="G255">
            <v>2</v>
          </cell>
          <cell r="H255">
            <v>0.15</v>
          </cell>
        </row>
        <row r="256">
          <cell r="A256" t="str">
            <v>21</v>
          </cell>
          <cell r="B256" t="str">
            <v>3016581</v>
          </cell>
          <cell r="C256" t="str">
            <v>0020</v>
          </cell>
          <cell r="D256" t="str">
            <v>3716</v>
          </cell>
          <cell r="E256" t="str">
            <v>RIM HEAD LIGHT</v>
          </cell>
          <cell r="F256" t="str">
            <v>DRAW &amp; LANCE</v>
          </cell>
          <cell r="G256">
            <v>2</v>
          </cell>
          <cell r="H256">
            <v>0.17899999999999999</v>
          </cell>
        </row>
        <row r="257">
          <cell r="A257" t="str">
            <v>21</v>
          </cell>
          <cell r="B257" t="str">
            <v>4130306003</v>
          </cell>
          <cell r="C257" t="str">
            <v>0030</v>
          </cell>
          <cell r="D257" t="str">
            <v>3716</v>
          </cell>
          <cell r="E257" t="str">
            <v>RAIL GRILLE TOP</v>
          </cell>
          <cell r="F257" t="str">
            <v>BLK &amp; PIR</v>
          </cell>
          <cell r="G257">
            <v>4</v>
          </cell>
          <cell r="H257">
            <v>0.214</v>
          </cell>
        </row>
        <row r="258">
          <cell r="A258" t="str">
            <v>21</v>
          </cell>
          <cell r="B258" t="str">
            <v>4130306003</v>
          </cell>
          <cell r="C258" t="str">
            <v>0051</v>
          </cell>
          <cell r="D258" t="str">
            <v>3716</v>
          </cell>
          <cell r="E258" t="str">
            <v>RAIL GRILLE TOP</v>
          </cell>
          <cell r="F258" t="str">
            <v>P/BND &amp; FORM</v>
          </cell>
          <cell r="G258">
            <v>3</v>
          </cell>
          <cell r="H258">
            <v>0.246</v>
          </cell>
        </row>
        <row r="259">
          <cell r="A259" t="str">
            <v>21</v>
          </cell>
          <cell r="B259" t="str">
            <v>4130306003</v>
          </cell>
          <cell r="C259" t="str">
            <v>0060</v>
          </cell>
          <cell r="D259" t="str">
            <v>3716</v>
          </cell>
          <cell r="E259" t="str">
            <v>RAIL GRILLE TOP</v>
          </cell>
          <cell r="F259" t="str">
            <v>PIR</v>
          </cell>
          <cell r="G259">
            <v>2</v>
          </cell>
          <cell r="H259">
            <v>0.224</v>
          </cell>
        </row>
        <row r="260">
          <cell r="A260" t="str">
            <v>21</v>
          </cell>
          <cell r="B260" t="str">
            <v>4140128003</v>
          </cell>
          <cell r="C260" t="str">
            <v>0020</v>
          </cell>
          <cell r="D260" t="str">
            <v>3716</v>
          </cell>
          <cell r="E260" t="str">
            <v>END PORTION RR BUM</v>
          </cell>
          <cell r="F260" t="str">
            <v>BLK</v>
          </cell>
          <cell r="G260">
            <v>2</v>
          </cell>
          <cell r="H260">
            <v>0.217</v>
          </cell>
        </row>
        <row r="261">
          <cell r="A261" t="str">
            <v>21</v>
          </cell>
          <cell r="B261" t="str">
            <v>4140128003</v>
          </cell>
          <cell r="C261" t="str">
            <v>0080</v>
          </cell>
          <cell r="D261" t="str">
            <v>3716</v>
          </cell>
          <cell r="E261" t="str">
            <v>END PORTION RR BUM</v>
          </cell>
          <cell r="F261" t="str">
            <v>TRIM</v>
          </cell>
          <cell r="G261">
            <v>2</v>
          </cell>
          <cell r="H261">
            <v>0.217</v>
          </cell>
        </row>
        <row r="262">
          <cell r="A262" t="str">
            <v>21</v>
          </cell>
          <cell r="B262" t="str">
            <v>4140128004</v>
          </cell>
          <cell r="C262" t="str">
            <v>0020</v>
          </cell>
          <cell r="D262" t="str">
            <v>3716</v>
          </cell>
          <cell r="E262" t="str">
            <v>END PORTION RR BUM</v>
          </cell>
          <cell r="F262" t="str">
            <v>BLK</v>
          </cell>
          <cell r="G262">
            <v>2</v>
          </cell>
          <cell r="H262">
            <v>0.217</v>
          </cell>
        </row>
        <row r="263">
          <cell r="A263" t="str">
            <v>21</v>
          </cell>
          <cell r="B263" t="str">
            <v>4140128004</v>
          </cell>
          <cell r="C263" t="str">
            <v>0080</v>
          </cell>
          <cell r="D263" t="str">
            <v>3716</v>
          </cell>
          <cell r="E263" t="str">
            <v>END PORTION RR BUM</v>
          </cell>
          <cell r="F263" t="str">
            <v>TRIM</v>
          </cell>
          <cell r="G263">
            <v>2</v>
          </cell>
          <cell r="H263">
            <v>0.217</v>
          </cell>
        </row>
        <row r="264">
          <cell r="A264" t="str">
            <v>21</v>
          </cell>
          <cell r="B264" t="str">
            <v>4140118001</v>
          </cell>
          <cell r="C264" t="str">
            <v>0051</v>
          </cell>
          <cell r="D264" t="str">
            <v>3716</v>
          </cell>
          <cell r="E264" t="str">
            <v>CENTRE PORTION FRT</v>
          </cell>
          <cell r="F264" t="str">
            <v>PIR</v>
          </cell>
          <cell r="G264">
            <v>3</v>
          </cell>
          <cell r="H264">
            <v>0.27700000000000002</v>
          </cell>
        </row>
        <row r="265">
          <cell r="A265" t="str">
            <v>21</v>
          </cell>
          <cell r="B265" t="str">
            <v>4140118002</v>
          </cell>
          <cell r="C265" t="str">
            <v>0020</v>
          </cell>
          <cell r="D265" t="str">
            <v>3716</v>
          </cell>
          <cell r="E265" t="str">
            <v>END PORTION FRT BU</v>
          </cell>
          <cell r="F265" t="str">
            <v>BLK</v>
          </cell>
          <cell r="G265">
            <v>2</v>
          </cell>
          <cell r="H265">
            <v>0.217</v>
          </cell>
        </row>
        <row r="266">
          <cell r="A266" t="str">
            <v>21</v>
          </cell>
          <cell r="B266" t="str">
            <v>4140118002</v>
          </cell>
          <cell r="C266" t="str">
            <v>0080</v>
          </cell>
          <cell r="D266" t="str">
            <v>3716</v>
          </cell>
          <cell r="E266" t="str">
            <v>END PORTION FRT BU</v>
          </cell>
          <cell r="F266" t="str">
            <v>SIDE TRM 2 STG</v>
          </cell>
          <cell r="G266">
            <v>2</v>
          </cell>
          <cell r="H266">
            <v>0.217</v>
          </cell>
        </row>
        <row r="267">
          <cell r="A267" t="str">
            <v>21</v>
          </cell>
          <cell r="B267" t="str">
            <v>3018402</v>
          </cell>
          <cell r="C267" t="str">
            <v>0020</v>
          </cell>
          <cell r="D267" t="str">
            <v>3716</v>
          </cell>
          <cell r="E267" t="str">
            <v>REINF.TOE BOARD RH.</v>
          </cell>
          <cell r="F267" t="str">
            <v>BLK</v>
          </cell>
          <cell r="G267">
            <v>3</v>
          </cell>
          <cell r="H267">
            <v>0.217</v>
          </cell>
        </row>
        <row r="268">
          <cell r="A268" t="str">
            <v>21</v>
          </cell>
          <cell r="B268" t="str">
            <v>3018403</v>
          </cell>
          <cell r="C268" t="str">
            <v>0020</v>
          </cell>
          <cell r="D268" t="str">
            <v>3716</v>
          </cell>
          <cell r="E268" t="str">
            <v>REINF.TOE BOARD LH.</v>
          </cell>
          <cell r="F268" t="str">
            <v>BLK</v>
          </cell>
          <cell r="G268">
            <v>3</v>
          </cell>
          <cell r="H268">
            <v>0.217</v>
          </cell>
        </row>
        <row r="269">
          <cell r="A269" t="str">
            <v>21</v>
          </cell>
          <cell r="B269" t="str">
            <v>3018808</v>
          </cell>
          <cell r="C269" t="str">
            <v>0020</v>
          </cell>
          <cell r="D269" t="str">
            <v>3716</v>
          </cell>
          <cell r="E269" t="str">
            <v>REINF. A POST FINISHER RH.</v>
          </cell>
          <cell r="F269" t="str">
            <v>BLK &amp; PIR</v>
          </cell>
          <cell r="G269">
            <v>2</v>
          </cell>
          <cell r="H269">
            <v>0.19600000000000001</v>
          </cell>
        </row>
        <row r="270">
          <cell r="A270" t="str">
            <v>21</v>
          </cell>
          <cell r="B270" t="str">
            <v>3018808</v>
          </cell>
          <cell r="C270" t="str">
            <v>0030</v>
          </cell>
          <cell r="D270" t="str">
            <v>3716</v>
          </cell>
          <cell r="E270" t="str">
            <v>REINF. A POST FINISHER RH.</v>
          </cell>
          <cell r="F270" t="str">
            <v>P/BND&amp;FORM R+L</v>
          </cell>
          <cell r="G270">
            <v>3</v>
          </cell>
          <cell r="H270">
            <v>0.16300000000000001</v>
          </cell>
        </row>
        <row r="271">
          <cell r="A271" t="str">
            <v>21</v>
          </cell>
          <cell r="B271" t="str">
            <v>3018809</v>
          </cell>
          <cell r="C271" t="str">
            <v>0020</v>
          </cell>
          <cell r="D271" t="str">
            <v>3716</v>
          </cell>
          <cell r="E271" t="str">
            <v>REINF. A POST FINISHER LH.</v>
          </cell>
          <cell r="F271" t="str">
            <v>BLK &amp; PIR</v>
          </cell>
          <cell r="G271">
            <v>2</v>
          </cell>
          <cell r="H271">
            <v>0.19600000000000001</v>
          </cell>
        </row>
        <row r="272">
          <cell r="A272" t="str">
            <v>21</v>
          </cell>
          <cell r="B272" t="str">
            <v>3018809</v>
          </cell>
          <cell r="C272" t="str">
            <v>0030</v>
          </cell>
          <cell r="D272" t="str">
            <v>3716</v>
          </cell>
          <cell r="E272" t="str">
            <v>REINF. A POST FINISHER LH.</v>
          </cell>
          <cell r="F272" t="str">
            <v>PRE-BND &amp; FORM</v>
          </cell>
          <cell r="G272">
            <v>3</v>
          </cell>
          <cell r="H272">
            <v>0.16300000000000001</v>
          </cell>
        </row>
        <row r="273">
          <cell r="A273" t="str">
            <v>21</v>
          </cell>
          <cell r="B273" t="str">
            <v>4302106107</v>
          </cell>
          <cell r="C273" t="str">
            <v>0030</v>
          </cell>
          <cell r="D273" t="str">
            <v>3716</v>
          </cell>
          <cell r="E273" t="str">
            <v>PLATE REINF W/BONE MTG.</v>
          </cell>
          <cell r="F273" t="str">
            <v>BLK &amp;PIR</v>
          </cell>
          <cell r="G273">
            <v>2</v>
          </cell>
          <cell r="H273">
            <v>0.214</v>
          </cell>
        </row>
        <row r="274">
          <cell r="A274" t="str">
            <v>21</v>
          </cell>
          <cell r="B274" t="str">
            <v>4302106108</v>
          </cell>
          <cell r="C274" t="str">
            <v>0030</v>
          </cell>
          <cell r="D274" t="str">
            <v>3716</v>
          </cell>
          <cell r="E274" t="str">
            <v>REINF. UPPER WISH BONE MTG.</v>
          </cell>
          <cell r="F274" t="str">
            <v>BLK &amp; PIR</v>
          </cell>
          <cell r="G274">
            <v>2</v>
          </cell>
          <cell r="H274">
            <v>0.214</v>
          </cell>
        </row>
        <row r="275">
          <cell r="A275" t="str">
            <v>21</v>
          </cell>
          <cell r="B275" t="str">
            <v>3019210</v>
          </cell>
          <cell r="C275" t="str">
            <v>0020</v>
          </cell>
          <cell r="D275" t="str">
            <v>3716</v>
          </cell>
          <cell r="E275" t="str">
            <v>COVER PLATE CLUTCH PEDAL &amp; LME</v>
          </cell>
          <cell r="F275" t="str">
            <v>BLK &amp; PIR</v>
          </cell>
          <cell r="G275">
            <v>2</v>
          </cell>
          <cell r="H275">
            <v>0.214</v>
          </cell>
        </row>
        <row r="276">
          <cell r="A276" t="str">
            <v>21</v>
          </cell>
          <cell r="B276" t="str">
            <v>3019210</v>
          </cell>
          <cell r="C276" t="str">
            <v>0030</v>
          </cell>
          <cell r="D276" t="str">
            <v>3716</v>
          </cell>
          <cell r="E276" t="str">
            <v>COVER PLATE CLUTCH PEDAL &amp; LME</v>
          </cell>
          <cell r="F276" t="str">
            <v>FORM</v>
          </cell>
          <cell r="G276">
            <v>2</v>
          </cell>
          <cell r="H276">
            <v>0.192</v>
          </cell>
        </row>
        <row r="277">
          <cell r="A277" t="str">
            <v>21</v>
          </cell>
          <cell r="B277" t="str">
            <v>3023025</v>
          </cell>
          <cell r="C277" t="str">
            <v>0020</v>
          </cell>
          <cell r="D277" t="str">
            <v>3716</v>
          </cell>
          <cell r="E277" t="str">
            <v>CROSS MEMB CENTRE</v>
          </cell>
          <cell r="F277" t="str">
            <v>BLK &amp; PIR</v>
          </cell>
          <cell r="G277">
            <v>2</v>
          </cell>
          <cell r="H277">
            <v>0.23499999999999999</v>
          </cell>
        </row>
        <row r="278">
          <cell r="A278" t="str">
            <v>21</v>
          </cell>
          <cell r="B278" t="str">
            <v>3023025</v>
          </cell>
          <cell r="C278" t="str">
            <v>0041</v>
          </cell>
          <cell r="D278" t="str">
            <v>3716</v>
          </cell>
          <cell r="E278" t="str">
            <v>CROSS MEMB CENTRE</v>
          </cell>
          <cell r="F278" t="str">
            <v>FORM</v>
          </cell>
          <cell r="G278">
            <v>3</v>
          </cell>
          <cell r="H278">
            <v>0.31</v>
          </cell>
        </row>
        <row r="279">
          <cell r="A279" t="str">
            <v>21</v>
          </cell>
          <cell r="B279" t="str">
            <v>3023025</v>
          </cell>
          <cell r="C279" t="str">
            <v>0050</v>
          </cell>
          <cell r="D279" t="str">
            <v>3716</v>
          </cell>
          <cell r="E279" t="str">
            <v>CROSS MEMB CENTRE</v>
          </cell>
          <cell r="F279" t="str">
            <v>FTN FLG.</v>
          </cell>
          <cell r="G279">
            <v>2</v>
          </cell>
          <cell r="H279">
            <v>0.246</v>
          </cell>
        </row>
        <row r="280">
          <cell r="A280" t="str">
            <v>21</v>
          </cell>
          <cell r="B280" t="str">
            <v>3023025</v>
          </cell>
          <cell r="C280" t="str">
            <v>0060</v>
          </cell>
          <cell r="D280" t="str">
            <v>3716</v>
          </cell>
          <cell r="E280" t="str">
            <v>CROSS MEMB CENTRE</v>
          </cell>
          <cell r="F280" t="str">
            <v>PIR END FLG.</v>
          </cell>
          <cell r="G280">
            <v>2</v>
          </cell>
          <cell r="H280">
            <v>0.246</v>
          </cell>
        </row>
        <row r="281">
          <cell r="A281" t="str">
            <v>21</v>
          </cell>
          <cell r="B281" t="str">
            <v>3025293</v>
          </cell>
          <cell r="C281" t="str">
            <v>0030</v>
          </cell>
          <cell r="D281" t="str">
            <v>3716</v>
          </cell>
          <cell r="E281" t="str">
            <v>FAN WATER PUMP PUL</v>
          </cell>
          <cell r="F281" t="str">
            <v>FORM</v>
          </cell>
          <cell r="G281">
            <v>1</v>
          </cell>
          <cell r="H281">
            <v>0.128</v>
          </cell>
        </row>
        <row r="282">
          <cell r="A282" t="str">
            <v>21</v>
          </cell>
          <cell r="B282" t="str">
            <v>3026007</v>
          </cell>
          <cell r="C282" t="str">
            <v>0020</v>
          </cell>
          <cell r="D282" t="str">
            <v>3716</v>
          </cell>
          <cell r="E282" t="str">
            <v>CROSS MEMB RR ENG</v>
          </cell>
          <cell r="F282" t="str">
            <v>BLK &amp; PIR</v>
          </cell>
          <cell r="G282">
            <v>2</v>
          </cell>
          <cell r="H282">
            <v>0.20200000000000001</v>
          </cell>
        </row>
        <row r="283">
          <cell r="A283" t="str">
            <v>21</v>
          </cell>
          <cell r="B283" t="str">
            <v>3026007</v>
          </cell>
          <cell r="C283" t="str">
            <v>0041</v>
          </cell>
          <cell r="D283" t="str">
            <v>3716</v>
          </cell>
          <cell r="E283" t="str">
            <v>CROSS MEMB RR ENG</v>
          </cell>
          <cell r="F283" t="str">
            <v>BEND &amp; FORM</v>
          </cell>
          <cell r="G283">
            <v>3</v>
          </cell>
          <cell r="H283">
            <v>0.246</v>
          </cell>
        </row>
        <row r="284">
          <cell r="A284" t="str">
            <v>21</v>
          </cell>
          <cell r="B284" t="str">
            <v>3026007</v>
          </cell>
          <cell r="C284" t="str">
            <v>0050</v>
          </cell>
          <cell r="D284" t="str">
            <v>3716</v>
          </cell>
          <cell r="E284" t="str">
            <v>CROSS MEMB RR ENG</v>
          </cell>
          <cell r="F284" t="str">
            <v>PIR</v>
          </cell>
          <cell r="G284">
            <v>2</v>
          </cell>
          <cell r="H284">
            <v>0.22800000000000001</v>
          </cell>
        </row>
        <row r="285">
          <cell r="A285" t="str">
            <v>21</v>
          </cell>
          <cell r="B285" t="str">
            <v>3027072</v>
          </cell>
          <cell r="C285" t="str">
            <v>0020</v>
          </cell>
          <cell r="D285" t="str">
            <v>3716</v>
          </cell>
          <cell r="E285" t="str">
            <v>BRKT.ENG MTG FRT. RH.</v>
          </cell>
          <cell r="F285" t="str">
            <v>B&amp;P</v>
          </cell>
          <cell r="G285">
            <v>3</v>
          </cell>
          <cell r="H285">
            <v>0.23499999999999999</v>
          </cell>
        </row>
        <row r="286">
          <cell r="A286" t="str">
            <v>21</v>
          </cell>
          <cell r="B286" t="str">
            <v>3027072</v>
          </cell>
          <cell r="C286" t="str">
            <v>0030</v>
          </cell>
          <cell r="D286" t="str">
            <v>3716</v>
          </cell>
          <cell r="E286" t="str">
            <v>BRKT.ENG MTG FRT. RH.</v>
          </cell>
          <cell r="F286" t="str">
            <v>FORM</v>
          </cell>
          <cell r="G286">
            <v>1</v>
          </cell>
          <cell r="H286">
            <v>0.182</v>
          </cell>
        </row>
        <row r="287">
          <cell r="A287" t="str">
            <v>21</v>
          </cell>
          <cell r="B287" t="str">
            <v>3027073</v>
          </cell>
          <cell r="C287" t="str">
            <v>0060</v>
          </cell>
          <cell r="D287" t="str">
            <v>3716</v>
          </cell>
          <cell r="E287" t="str">
            <v>BRKT.ENG MTG FRT. LH.</v>
          </cell>
          <cell r="F287" t="str">
            <v>FORM</v>
          </cell>
          <cell r="G287">
            <v>1</v>
          </cell>
          <cell r="H287">
            <v>0.182</v>
          </cell>
        </row>
        <row r="288">
          <cell r="A288" t="str">
            <v>21</v>
          </cell>
          <cell r="B288" t="str">
            <v>3038831</v>
          </cell>
          <cell r="C288" t="str">
            <v>0020</v>
          </cell>
          <cell r="D288" t="str">
            <v>3716</v>
          </cell>
          <cell r="E288" t="str">
            <v>OIL RESERVOIR</v>
          </cell>
          <cell r="F288" t="str">
            <v>BLK</v>
          </cell>
          <cell r="G288">
            <v>2</v>
          </cell>
          <cell r="H288">
            <v>0.26600000000000001</v>
          </cell>
        </row>
        <row r="289">
          <cell r="A289" t="str">
            <v>21</v>
          </cell>
          <cell r="B289" t="str">
            <v>3038831</v>
          </cell>
          <cell r="C289" t="str">
            <v>0030</v>
          </cell>
          <cell r="D289" t="str">
            <v>3716</v>
          </cell>
          <cell r="E289" t="str">
            <v>OIL RESERVOIR</v>
          </cell>
          <cell r="F289" t="str">
            <v>DRAW</v>
          </cell>
          <cell r="G289">
            <v>3</v>
          </cell>
          <cell r="H289">
            <v>0.27200000000000002</v>
          </cell>
        </row>
        <row r="290">
          <cell r="A290" t="str">
            <v>21</v>
          </cell>
          <cell r="B290" t="str">
            <v>3038831</v>
          </cell>
          <cell r="C290" t="str">
            <v>0040</v>
          </cell>
          <cell r="D290" t="str">
            <v>3716</v>
          </cell>
          <cell r="E290" t="str">
            <v>OIL RESERVOIR</v>
          </cell>
          <cell r="F290" t="str">
            <v>RE-DRAW</v>
          </cell>
          <cell r="G290">
            <v>3</v>
          </cell>
          <cell r="H290">
            <v>0.27200000000000002</v>
          </cell>
        </row>
        <row r="291">
          <cell r="A291" t="str">
            <v>21</v>
          </cell>
          <cell r="B291" t="str">
            <v>3038831</v>
          </cell>
          <cell r="C291" t="str">
            <v>0050</v>
          </cell>
          <cell r="D291" t="str">
            <v>3716</v>
          </cell>
          <cell r="E291" t="str">
            <v>OIL RESERVOIR</v>
          </cell>
          <cell r="F291" t="str">
            <v>RES.&amp; EMB.</v>
          </cell>
          <cell r="G291">
            <v>3</v>
          </cell>
          <cell r="H291">
            <v>0.27200000000000002</v>
          </cell>
        </row>
        <row r="292">
          <cell r="A292" t="str">
            <v>21</v>
          </cell>
          <cell r="B292" t="str">
            <v>3038831</v>
          </cell>
          <cell r="C292" t="str">
            <v>0060</v>
          </cell>
          <cell r="D292" t="str">
            <v>3716</v>
          </cell>
          <cell r="E292" t="str">
            <v>OIL RESERVOIR</v>
          </cell>
          <cell r="F292" t="str">
            <v>TRIM ALLROUND</v>
          </cell>
          <cell r="G292">
            <v>3</v>
          </cell>
          <cell r="H292">
            <v>0.26100000000000001</v>
          </cell>
        </row>
        <row r="293">
          <cell r="A293" t="str">
            <v>21</v>
          </cell>
          <cell r="B293" t="str">
            <v>3038831</v>
          </cell>
          <cell r="C293" t="str">
            <v>0070</v>
          </cell>
          <cell r="D293" t="str">
            <v>3716</v>
          </cell>
          <cell r="E293" t="str">
            <v>OIL RESERVOIR</v>
          </cell>
          <cell r="F293" t="str">
            <v>FLG.ALLROUND</v>
          </cell>
          <cell r="G293">
            <v>2</v>
          </cell>
          <cell r="H293">
            <v>0.26100000000000001</v>
          </cell>
        </row>
        <row r="294">
          <cell r="A294" t="str">
            <v>PTL21</v>
          </cell>
          <cell r="B294" t="str">
            <v>3038831</v>
          </cell>
          <cell r="C294" t="str">
            <v>0080</v>
          </cell>
          <cell r="D294" t="str">
            <v>3716</v>
          </cell>
          <cell r="E294" t="str">
            <v>OIL RESERVOIR</v>
          </cell>
          <cell r="F294" t="str">
            <v>PIR 19 HOLES</v>
          </cell>
          <cell r="G294">
            <v>3</v>
          </cell>
          <cell r="H294">
            <v>0.3</v>
          </cell>
        </row>
        <row r="295">
          <cell r="A295" t="str">
            <v>21</v>
          </cell>
          <cell r="B295" t="str">
            <v>3037156</v>
          </cell>
          <cell r="C295" t="str">
            <v>0030</v>
          </cell>
          <cell r="D295" t="str">
            <v>3716</v>
          </cell>
          <cell r="E295" t="str">
            <v>CYLINDER SIDE COVER PLAIN</v>
          </cell>
          <cell r="F295" t="str">
            <v>DRAW</v>
          </cell>
          <cell r="G295">
            <v>1</v>
          </cell>
          <cell r="H295">
            <v>0.16</v>
          </cell>
        </row>
        <row r="296">
          <cell r="A296" t="str">
            <v>PTL21</v>
          </cell>
          <cell r="B296" t="str">
            <v>4066306001</v>
          </cell>
          <cell r="C296" t="str">
            <v>0050</v>
          </cell>
          <cell r="D296" t="str">
            <v>3716</v>
          </cell>
          <cell r="E296" t="str">
            <v>VALVE ROCKER COVER</v>
          </cell>
          <cell r="F296" t="str">
            <v>PLAN,PIR,PLUNG</v>
          </cell>
          <cell r="G296">
            <v>3</v>
          </cell>
          <cell r="H296">
            <v>0.27</v>
          </cell>
        </row>
        <row r="297">
          <cell r="A297" t="str">
            <v>PTL21</v>
          </cell>
          <cell r="B297" t="str">
            <v>ACH5237</v>
          </cell>
          <cell r="C297" t="str">
            <v>0030</v>
          </cell>
          <cell r="D297" t="str">
            <v>3716</v>
          </cell>
          <cell r="E297" t="str">
            <v>ENGINE MTG. BRKT.RH.</v>
          </cell>
          <cell r="F297" t="str">
            <v>BLK &amp; PIR</v>
          </cell>
          <cell r="G297">
            <v>3</v>
          </cell>
          <cell r="H297">
            <v>0.23499999999999999</v>
          </cell>
        </row>
        <row r="298">
          <cell r="A298" t="str">
            <v>21</v>
          </cell>
          <cell r="B298" t="str">
            <v>ACH5237</v>
          </cell>
          <cell r="C298" t="str">
            <v>0040</v>
          </cell>
          <cell r="D298" t="str">
            <v>3716</v>
          </cell>
          <cell r="E298" t="str">
            <v>ENGINE MTG. BRKT.RH.</v>
          </cell>
          <cell r="F298" t="str">
            <v>PIR 3 HOLES</v>
          </cell>
          <cell r="G298">
            <v>1</v>
          </cell>
          <cell r="H298">
            <v>0.182</v>
          </cell>
        </row>
        <row r="299">
          <cell r="A299" t="str">
            <v>21</v>
          </cell>
          <cell r="B299" t="str">
            <v>4031006008</v>
          </cell>
          <cell r="C299" t="str">
            <v>0030</v>
          </cell>
          <cell r="D299" t="str">
            <v>3716</v>
          </cell>
          <cell r="E299" t="str">
            <v>SHOCK ABSORBER PIVOT BRKT.PLT.</v>
          </cell>
          <cell r="F299" t="str">
            <v>PIERCE 2 HOLES</v>
          </cell>
          <cell r="G299">
            <v>1</v>
          </cell>
          <cell r="H299">
            <v>0.16</v>
          </cell>
        </row>
        <row r="300">
          <cell r="A300" t="str">
            <v>21</v>
          </cell>
          <cell r="B300" t="str">
            <v>3009390</v>
          </cell>
          <cell r="C300" t="str">
            <v>0020</v>
          </cell>
          <cell r="D300" t="str">
            <v>3716</v>
          </cell>
          <cell r="E300" t="str">
            <v>SPACER 'A' POST RH.</v>
          </cell>
          <cell r="F300" t="str">
            <v>BLANK</v>
          </cell>
          <cell r="G300">
            <v>2</v>
          </cell>
          <cell r="H300">
            <v>0.22</v>
          </cell>
        </row>
        <row r="301">
          <cell r="A301" t="str">
            <v>21</v>
          </cell>
          <cell r="B301" t="str">
            <v>3009391</v>
          </cell>
          <cell r="C301" t="str">
            <v>0020</v>
          </cell>
          <cell r="D301" t="str">
            <v>3716</v>
          </cell>
          <cell r="E301" t="str">
            <v>SPACER 'A' POST LH.</v>
          </cell>
          <cell r="F301" t="str">
            <v>BLANK</v>
          </cell>
          <cell r="G301">
            <v>2</v>
          </cell>
          <cell r="H301">
            <v>0.22</v>
          </cell>
        </row>
        <row r="302">
          <cell r="A302" t="str">
            <v>21</v>
          </cell>
          <cell r="B302" t="str">
            <v>3009391</v>
          </cell>
          <cell r="C302" t="str">
            <v>0030</v>
          </cell>
          <cell r="D302" t="str">
            <v>3716</v>
          </cell>
          <cell r="E302" t="str">
            <v>SPACER 'A' POST LH.</v>
          </cell>
          <cell r="F302" t="str">
            <v>FLG.ONE HAND</v>
          </cell>
          <cell r="G302">
            <v>2</v>
          </cell>
          <cell r="H302">
            <v>0.16</v>
          </cell>
        </row>
        <row r="303">
          <cell r="A303" t="str">
            <v>21</v>
          </cell>
          <cell r="B303" t="str">
            <v>3009390</v>
          </cell>
          <cell r="C303" t="str">
            <v>0030</v>
          </cell>
          <cell r="D303" t="str">
            <v>3716</v>
          </cell>
          <cell r="E303" t="str">
            <v>SPACER 'A' POST RH.</v>
          </cell>
          <cell r="F303" t="str">
            <v>FLG.ONE HAND</v>
          </cell>
          <cell r="G303">
            <v>2</v>
          </cell>
          <cell r="H303">
            <v>0.16</v>
          </cell>
        </row>
        <row r="304">
          <cell r="A304" t="str">
            <v>PTL21</v>
          </cell>
          <cell r="B304" t="str">
            <v>4031006008</v>
          </cell>
          <cell r="C304" t="str">
            <v>0020</v>
          </cell>
          <cell r="D304" t="str">
            <v>3716</v>
          </cell>
          <cell r="E304" t="str">
            <v>SHOCK ABS.PIVOT BRKT.PLATE</v>
          </cell>
          <cell r="F304" t="str">
            <v>BLK.COMPLETE</v>
          </cell>
          <cell r="G304">
            <v>2</v>
          </cell>
          <cell r="H304">
            <v>0.17199999999999999</v>
          </cell>
        </row>
        <row r="305">
          <cell r="A305" t="str">
            <v>21</v>
          </cell>
          <cell r="B305" t="str">
            <v>ACH5238</v>
          </cell>
          <cell r="C305" t="str">
            <v>0030</v>
          </cell>
          <cell r="D305" t="str">
            <v>3716</v>
          </cell>
          <cell r="E305" t="str">
            <v>ENGINE MTG. BRKT.LH.</v>
          </cell>
          <cell r="F305" t="str">
            <v>BLK &amp; PIR</v>
          </cell>
          <cell r="G305">
            <v>3</v>
          </cell>
          <cell r="H305">
            <v>0.23499999999999999</v>
          </cell>
        </row>
        <row r="306">
          <cell r="A306" t="str">
            <v>21</v>
          </cell>
          <cell r="B306" t="str">
            <v>4066306001</v>
          </cell>
          <cell r="C306" t="str">
            <v>0030</v>
          </cell>
          <cell r="D306" t="str">
            <v>3716</v>
          </cell>
          <cell r="F306" t="str">
            <v>BLANK</v>
          </cell>
          <cell r="G306">
            <v>2</v>
          </cell>
          <cell r="H306">
            <v>0.25</v>
          </cell>
        </row>
        <row r="307">
          <cell r="A307" t="str">
            <v>21</v>
          </cell>
          <cell r="B307" t="str">
            <v>3017416</v>
          </cell>
          <cell r="C307" t="str">
            <v>0030</v>
          </cell>
          <cell r="D307" t="str">
            <v>3716</v>
          </cell>
          <cell r="E307" t="str">
            <v>BRKT.VALANCE FRT.BUMP.MTG.RH.</v>
          </cell>
          <cell r="F307" t="str">
            <v>BLANK(4P/STRP)</v>
          </cell>
          <cell r="G307">
            <v>2</v>
          </cell>
          <cell r="H307">
            <v>0.2</v>
          </cell>
        </row>
        <row r="308">
          <cell r="A308" t="str">
            <v>21</v>
          </cell>
          <cell r="B308" t="str">
            <v>3017417</v>
          </cell>
          <cell r="C308" t="str">
            <v>0030</v>
          </cell>
          <cell r="D308" t="str">
            <v>3716</v>
          </cell>
          <cell r="E308" t="str">
            <v>BRKT.VALANCE FRT.BUMP.MTG.LH.</v>
          </cell>
          <cell r="F308" t="str">
            <v>BLANK(4P/STRP)</v>
          </cell>
          <cell r="G308">
            <v>2</v>
          </cell>
          <cell r="H308">
            <v>0.2</v>
          </cell>
        </row>
        <row r="309">
          <cell r="A309" t="str">
            <v>21</v>
          </cell>
          <cell r="B309" t="str">
            <v>3017417</v>
          </cell>
          <cell r="C309" t="str">
            <v>0040</v>
          </cell>
          <cell r="D309" t="str">
            <v>3716</v>
          </cell>
          <cell r="E309" t="str">
            <v>BRKT.VALANCE FRT.BUMP.MTG.LH.</v>
          </cell>
          <cell r="F309" t="str">
            <v>FORM COMP.(DOU</v>
          </cell>
          <cell r="G309">
            <v>2</v>
          </cell>
          <cell r="H309">
            <v>0.18</v>
          </cell>
        </row>
        <row r="310">
          <cell r="A310" t="str">
            <v>21</v>
          </cell>
          <cell r="B310" t="str">
            <v>3017416</v>
          </cell>
          <cell r="C310" t="str">
            <v>0040</v>
          </cell>
          <cell r="D310" t="str">
            <v>3716</v>
          </cell>
          <cell r="E310" t="str">
            <v>BRKT.VALANCE FRT.BUMP.MTG.RH.</v>
          </cell>
          <cell r="F310" t="str">
            <v>FORM COMP.(DOU</v>
          </cell>
          <cell r="G310">
            <v>2</v>
          </cell>
          <cell r="H310">
            <v>0.18</v>
          </cell>
        </row>
        <row r="311">
          <cell r="A311" t="str">
            <v>21</v>
          </cell>
          <cell r="B311" t="str">
            <v>3017416</v>
          </cell>
          <cell r="C311" t="str">
            <v>0050</v>
          </cell>
          <cell r="D311" t="str">
            <v>3716</v>
          </cell>
          <cell r="E311" t="str">
            <v>BRKT.VALANCE FRT.BUMP.MTG.RH.</v>
          </cell>
          <cell r="F311" t="str">
            <v>P/OFF.</v>
          </cell>
          <cell r="G311">
            <v>2</v>
          </cell>
          <cell r="H311">
            <v>0.1</v>
          </cell>
        </row>
        <row r="312">
          <cell r="A312" t="str">
            <v>21</v>
          </cell>
          <cell r="B312" t="str">
            <v>3017417</v>
          </cell>
          <cell r="C312" t="str">
            <v>0050</v>
          </cell>
          <cell r="D312" t="str">
            <v>3716</v>
          </cell>
          <cell r="E312" t="str">
            <v>BRKT.VALANCE FRT.BUMP.MTG.LH.</v>
          </cell>
          <cell r="F312" t="str">
            <v>P/OFF.</v>
          </cell>
          <cell r="G312">
            <v>2</v>
          </cell>
          <cell r="H312">
            <v>0.1</v>
          </cell>
        </row>
        <row r="313">
          <cell r="A313" t="str">
            <v>21</v>
          </cell>
          <cell r="B313" t="str">
            <v>3017417</v>
          </cell>
          <cell r="C313" t="str">
            <v>0060</v>
          </cell>
          <cell r="D313" t="str">
            <v>3716</v>
          </cell>
          <cell r="E313" t="str">
            <v>BRKT.VALANCE FRT.BUMP.MTG.LH.</v>
          </cell>
          <cell r="F313" t="str">
            <v>PIERCE</v>
          </cell>
          <cell r="G313">
            <v>2</v>
          </cell>
          <cell r="H313">
            <v>0.15</v>
          </cell>
        </row>
        <row r="314">
          <cell r="A314" t="str">
            <v>21</v>
          </cell>
          <cell r="B314" t="str">
            <v>3017416</v>
          </cell>
          <cell r="C314" t="str">
            <v>0060</v>
          </cell>
          <cell r="D314" t="str">
            <v>3716</v>
          </cell>
          <cell r="E314" t="str">
            <v>BRKT.VALANCE FRT.BUMP.MTG.RH.</v>
          </cell>
          <cell r="F314" t="str">
            <v>PIERCE</v>
          </cell>
          <cell r="G314">
            <v>2</v>
          </cell>
          <cell r="H314">
            <v>0.15</v>
          </cell>
        </row>
        <row r="315">
          <cell r="A315" t="str">
            <v>21</v>
          </cell>
          <cell r="B315" t="str">
            <v>3027073</v>
          </cell>
          <cell r="C315" t="str">
            <v>0040</v>
          </cell>
          <cell r="D315" t="str">
            <v>3716</v>
          </cell>
          <cell r="E315" t="str">
            <v>BRKT.ENG.MTG.FRT.LH.</v>
          </cell>
          <cell r="F315" t="str">
            <v>FLATTEN BLANK</v>
          </cell>
          <cell r="G315">
            <v>1</v>
          </cell>
          <cell r="H315">
            <v>0.13</v>
          </cell>
        </row>
        <row r="316">
          <cell r="A316" t="str">
            <v>21</v>
          </cell>
          <cell r="B316" t="str">
            <v>3009848</v>
          </cell>
          <cell r="C316" t="str">
            <v>0020</v>
          </cell>
          <cell r="D316" t="str">
            <v>3716</v>
          </cell>
          <cell r="E316" t="str">
            <v>ENGINE FRONT MTG PLATE</v>
          </cell>
          <cell r="F316" t="str">
            <v>BLANK &amp; PIERCE</v>
          </cell>
          <cell r="G316">
            <v>4</v>
          </cell>
          <cell r="H316">
            <v>0.21299999999999999</v>
          </cell>
        </row>
        <row r="317">
          <cell r="A317" t="str">
            <v>21</v>
          </cell>
          <cell r="B317" t="str">
            <v>3025293</v>
          </cell>
          <cell r="C317" t="str">
            <v>0020</v>
          </cell>
          <cell r="D317" t="str">
            <v>3716</v>
          </cell>
          <cell r="E317" t="str">
            <v>FAN &amp; WATER PUMP PULLEY FLG.</v>
          </cell>
          <cell r="F317" t="str">
            <v>BLANK</v>
          </cell>
          <cell r="G317">
            <v>1</v>
          </cell>
          <cell r="H317">
            <v>0.14000000000000001</v>
          </cell>
        </row>
        <row r="318">
          <cell r="A318" t="str">
            <v>21</v>
          </cell>
          <cell r="B318" t="str">
            <v>ACH5237</v>
          </cell>
          <cell r="C318" t="str">
            <v>0045</v>
          </cell>
          <cell r="D318" t="str">
            <v>3716</v>
          </cell>
          <cell r="E318" t="str">
            <v>ENGINE MTG.BRKT FRT. RH.</v>
          </cell>
          <cell r="F318" t="str">
            <v>FLATTEN</v>
          </cell>
          <cell r="G318">
            <v>1</v>
          </cell>
          <cell r="H318">
            <v>0.15</v>
          </cell>
        </row>
        <row r="319">
          <cell r="B319" t="str">
            <v>ACH5238</v>
          </cell>
          <cell r="C319" t="str">
            <v>0045</v>
          </cell>
          <cell r="D319" t="str">
            <v>3716</v>
          </cell>
          <cell r="E319" t="str">
            <v>ENGINE MTG.BRKT FRT. LH.</v>
          </cell>
          <cell r="F319" t="str">
            <v>FLATTEN</v>
          </cell>
          <cell r="G319">
            <v>1</v>
          </cell>
          <cell r="H319">
            <v>0.15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TRIX SA"/>
      <sheetName val="spmIED"/>
      <sheetName val="MATRIX"/>
      <sheetName val="CPS N"/>
      <sheetName val="CPS _N_"/>
      <sheetName val="hps"/>
      <sheetName val="_MIS CPS M"/>
    </sheetNames>
    <sheetDataSet>
      <sheetData sheetId="0" refreshError="1"/>
      <sheetData sheetId="1" refreshError="1"/>
      <sheetData sheetId="2" refreshError="1"/>
      <sheetData sheetId="3">
        <row r="1">
          <cell r="P1" t="str">
            <v>Physical Status as on 29.03</v>
          </cell>
        </row>
        <row r="2">
          <cell r="P2">
            <v>4950</v>
          </cell>
        </row>
        <row r="6">
          <cell r="P6">
            <v>1900</v>
          </cell>
        </row>
        <row r="10">
          <cell r="P10">
            <v>728</v>
          </cell>
        </row>
        <row r="14">
          <cell r="P14">
            <v>2575</v>
          </cell>
        </row>
        <row r="18">
          <cell r="P18">
            <v>141</v>
          </cell>
        </row>
        <row r="22">
          <cell r="P22">
            <v>226</v>
          </cell>
        </row>
        <row r="26">
          <cell r="P26">
            <v>374</v>
          </cell>
        </row>
        <row r="30">
          <cell r="P30">
            <v>388</v>
          </cell>
        </row>
        <row r="34">
          <cell r="P34">
            <v>391</v>
          </cell>
        </row>
        <row r="38">
          <cell r="P38">
            <v>434</v>
          </cell>
        </row>
        <row r="42">
          <cell r="P42">
            <v>476</v>
          </cell>
        </row>
        <row r="46">
          <cell r="P46">
            <v>476</v>
          </cell>
        </row>
        <row r="50">
          <cell r="P50">
            <v>498</v>
          </cell>
        </row>
        <row r="54">
          <cell r="P54">
            <v>591</v>
          </cell>
        </row>
        <row r="58">
          <cell r="P58">
            <v>599</v>
          </cell>
        </row>
        <row r="62">
          <cell r="P62">
            <v>632</v>
          </cell>
        </row>
        <row r="66">
          <cell r="P66">
            <v>644</v>
          </cell>
        </row>
        <row r="70">
          <cell r="P70">
            <v>669</v>
          </cell>
        </row>
        <row r="74">
          <cell r="P74">
            <v>688</v>
          </cell>
        </row>
        <row r="78">
          <cell r="P78">
            <v>735</v>
          </cell>
        </row>
        <row r="82">
          <cell r="P82">
            <v>752</v>
          </cell>
        </row>
        <row r="86">
          <cell r="P86">
            <v>759</v>
          </cell>
        </row>
        <row r="90">
          <cell r="P90">
            <v>764</v>
          </cell>
        </row>
        <row r="94">
          <cell r="P94">
            <v>812</v>
          </cell>
        </row>
        <row r="98">
          <cell r="P98">
            <v>1009</v>
          </cell>
        </row>
        <row r="102">
          <cell r="P102">
            <v>1128</v>
          </cell>
        </row>
        <row r="106">
          <cell r="P106">
            <v>263</v>
          </cell>
        </row>
        <row r="110">
          <cell r="P110">
            <v>280</v>
          </cell>
        </row>
        <row r="114">
          <cell r="P114">
            <v>295</v>
          </cell>
        </row>
        <row r="118">
          <cell r="P118">
            <v>312</v>
          </cell>
        </row>
        <row r="122">
          <cell r="P122">
            <v>319</v>
          </cell>
        </row>
        <row r="126">
          <cell r="P126">
            <v>350</v>
          </cell>
        </row>
        <row r="130">
          <cell r="P130">
            <v>350</v>
          </cell>
        </row>
        <row r="134">
          <cell r="P134">
            <v>421</v>
          </cell>
        </row>
        <row r="138">
          <cell r="P138">
            <v>429</v>
          </cell>
        </row>
        <row r="142">
          <cell r="P142">
            <v>432</v>
          </cell>
        </row>
        <row r="146">
          <cell r="P146">
            <v>443</v>
          </cell>
        </row>
        <row r="150">
          <cell r="P150">
            <v>452</v>
          </cell>
        </row>
        <row r="154">
          <cell r="P154">
            <v>460</v>
          </cell>
        </row>
        <row r="158">
          <cell r="P158">
            <v>470</v>
          </cell>
        </row>
        <row r="162">
          <cell r="P162">
            <v>476</v>
          </cell>
        </row>
        <row r="166">
          <cell r="P166">
            <v>481</v>
          </cell>
        </row>
        <row r="170">
          <cell r="P170">
            <v>490</v>
          </cell>
        </row>
        <row r="174">
          <cell r="P174">
            <v>502</v>
          </cell>
        </row>
        <row r="178">
          <cell r="P178">
            <v>510</v>
          </cell>
        </row>
        <row r="182">
          <cell r="P182">
            <v>511</v>
          </cell>
        </row>
        <row r="186">
          <cell r="P186">
            <v>512</v>
          </cell>
        </row>
        <row r="190">
          <cell r="P190">
            <v>517</v>
          </cell>
        </row>
        <row r="194">
          <cell r="P194">
            <v>525</v>
          </cell>
        </row>
        <row r="198">
          <cell r="P198">
            <v>539</v>
          </cell>
        </row>
        <row r="202">
          <cell r="P202">
            <v>554</v>
          </cell>
        </row>
        <row r="206">
          <cell r="P206">
            <v>558</v>
          </cell>
        </row>
        <row r="210">
          <cell r="P210">
            <v>572</v>
          </cell>
        </row>
        <row r="214">
          <cell r="P214">
            <v>577</v>
          </cell>
        </row>
        <row r="218">
          <cell r="P218">
            <v>583</v>
          </cell>
        </row>
        <row r="222">
          <cell r="P222">
            <v>632</v>
          </cell>
        </row>
        <row r="226">
          <cell r="P226">
            <v>628</v>
          </cell>
        </row>
        <row r="230">
          <cell r="P230">
            <v>655</v>
          </cell>
        </row>
        <row r="234">
          <cell r="P234">
            <v>658</v>
          </cell>
        </row>
        <row r="238">
          <cell r="P238">
            <v>672</v>
          </cell>
        </row>
        <row r="242">
          <cell r="P242">
            <v>692</v>
          </cell>
        </row>
        <row r="246">
          <cell r="P246">
            <v>695</v>
          </cell>
        </row>
        <row r="250">
          <cell r="P250">
            <v>712</v>
          </cell>
        </row>
        <row r="254">
          <cell r="P254">
            <v>714</v>
          </cell>
        </row>
        <row r="258">
          <cell r="P258">
            <v>761</v>
          </cell>
        </row>
        <row r="262">
          <cell r="P262">
            <v>765</v>
          </cell>
        </row>
        <row r="266">
          <cell r="P266">
            <v>772</v>
          </cell>
        </row>
        <row r="270">
          <cell r="P270">
            <v>836</v>
          </cell>
        </row>
        <row r="274">
          <cell r="P274">
            <v>857</v>
          </cell>
        </row>
        <row r="278">
          <cell r="P278">
            <v>882</v>
          </cell>
        </row>
        <row r="282">
          <cell r="P282">
            <v>850</v>
          </cell>
        </row>
        <row r="286">
          <cell r="P286">
            <v>850</v>
          </cell>
        </row>
        <row r="290">
          <cell r="P290">
            <v>850</v>
          </cell>
        </row>
        <row r="294">
          <cell r="P294">
            <v>872</v>
          </cell>
        </row>
        <row r="298">
          <cell r="P298">
            <v>872</v>
          </cell>
        </row>
        <row r="302">
          <cell r="P302">
            <v>790</v>
          </cell>
        </row>
        <row r="314">
          <cell r="P314">
            <v>921</v>
          </cell>
        </row>
        <row r="318">
          <cell r="P318">
            <v>928</v>
          </cell>
        </row>
        <row r="322">
          <cell r="P322">
            <v>219</v>
          </cell>
        </row>
        <row r="326">
          <cell r="P326">
            <v>1012</v>
          </cell>
        </row>
        <row r="330">
          <cell r="P330">
            <v>1021</v>
          </cell>
        </row>
        <row r="334">
          <cell r="P334">
            <v>1024</v>
          </cell>
        </row>
        <row r="338">
          <cell r="P338">
            <v>1051</v>
          </cell>
        </row>
        <row r="342">
          <cell r="P342">
            <v>1051</v>
          </cell>
        </row>
        <row r="346">
          <cell r="P346">
            <v>1122</v>
          </cell>
        </row>
        <row r="350">
          <cell r="P350">
            <v>1154</v>
          </cell>
        </row>
        <row r="354">
          <cell r="P354">
            <v>1776</v>
          </cell>
        </row>
        <row r="358">
          <cell r="P358">
            <v>0</v>
          </cell>
        </row>
        <row r="362">
          <cell r="P362">
            <v>283</v>
          </cell>
        </row>
        <row r="366">
          <cell r="P366">
            <v>20</v>
          </cell>
        </row>
        <row r="370">
          <cell r="P370">
            <v>20</v>
          </cell>
        </row>
        <row r="374">
          <cell r="P374">
            <v>467</v>
          </cell>
        </row>
      </sheetData>
      <sheetData sheetId="4">
        <row r="1">
          <cell r="P1" t="str">
            <v>Physical Status as on 29.03</v>
          </cell>
        </row>
        <row r="2">
          <cell r="P2">
            <v>4950</v>
          </cell>
        </row>
        <row r="3">
          <cell r="P3">
            <v>1900</v>
          </cell>
        </row>
        <row r="4">
          <cell r="P4">
            <v>728</v>
          </cell>
        </row>
        <row r="5">
          <cell r="P5">
            <v>2575</v>
          </cell>
        </row>
        <row r="6">
          <cell r="P6">
            <v>141</v>
          </cell>
        </row>
        <row r="7">
          <cell r="P7">
            <v>226</v>
          </cell>
        </row>
        <row r="8">
          <cell r="P8">
            <v>374</v>
          </cell>
        </row>
        <row r="9">
          <cell r="P9">
            <v>388</v>
          </cell>
        </row>
        <row r="10">
          <cell r="P10">
            <v>391</v>
          </cell>
        </row>
        <row r="11">
          <cell r="P11">
            <v>434</v>
          </cell>
        </row>
        <row r="12">
          <cell r="P12">
            <v>476</v>
          </cell>
        </row>
        <row r="13">
          <cell r="P13">
            <v>476</v>
          </cell>
        </row>
        <row r="14">
          <cell r="P14">
            <v>498</v>
          </cell>
        </row>
        <row r="15">
          <cell r="P15">
            <v>591</v>
          </cell>
        </row>
        <row r="16">
          <cell r="P16">
            <v>599</v>
          </cell>
        </row>
        <row r="17">
          <cell r="P17">
            <v>632</v>
          </cell>
        </row>
        <row r="18">
          <cell r="P18">
            <v>644</v>
          </cell>
        </row>
        <row r="19">
          <cell r="P19">
            <v>669</v>
          </cell>
        </row>
        <row r="20">
          <cell r="P20">
            <v>688</v>
          </cell>
        </row>
        <row r="21">
          <cell r="P21">
            <v>735</v>
          </cell>
        </row>
        <row r="22">
          <cell r="P22">
            <v>752</v>
          </cell>
        </row>
        <row r="23">
          <cell r="P23">
            <v>759</v>
          </cell>
        </row>
        <row r="24">
          <cell r="P24">
            <v>764</v>
          </cell>
        </row>
        <row r="25">
          <cell r="P25">
            <v>812</v>
          </cell>
        </row>
        <row r="26">
          <cell r="P26">
            <v>1009</v>
          </cell>
        </row>
        <row r="27">
          <cell r="P27">
            <v>1128</v>
          </cell>
        </row>
        <row r="28">
          <cell r="P28">
            <v>263</v>
          </cell>
        </row>
        <row r="29">
          <cell r="P29">
            <v>280</v>
          </cell>
        </row>
        <row r="30">
          <cell r="P30">
            <v>295</v>
          </cell>
        </row>
        <row r="31">
          <cell r="P31">
            <v>312</v>
          </cell>
        </row>
        <row r="32">
          <cell r="P32">
            <v>319</v>
          </cell>
        </row>
        <row r="33">
          <cell r="P33">
            <v>350</v>
          </cell>
        </row>
        <row r="34">
          <cell r="P34">
            <v>350</v>
          </cell>
        </row>
        <row r="35">
          <cell r="P35">
            <v>421</v>
          </cell>
        </row>
        <row r="36">
          <cell r="P36">
            <v>429</v>
          </cell>
        </row>
        <row r="37">
          <cell r="P37">
            <v>432</v>
          </cell>
        </row>
        <row r="38">
          <cell r="P38">
            <v>443</v>
          </cell>
        </row>
        <row r="39">
          <cell r="P39">
            <v>452</v>
          </cell>
        </row>
        <row r="40">
          <cell r="P40">
            <v>460</v>
          </cell>
        </row>
        <row r="41">
          <cell r="P41">
            <v>470</v>
          </cell>
        </row>
        <row r="42">
          <cell r="P42">
            <v>476</v>
          </cell>
        </row>
        <row r="43">
          <cell r="P43">
            <v>478</v>
          </cell>
        </row>
        <row r="44">
          <cell r="P44">
            <v>478</v>
          </cell>
        </row>
        <row r="45">
          <cell r="P45">
            <v>480</v>
          </cell>
        </row>
        <row r="46">
          <cell r="P46">
            <v>481</v>
          </cell>
        </row>
        <row r="47">
          <cell r="P47">
            <v>490</v>
          </cell>
        </row>
        <row r="48">
          <cell r="P48">
            <v>502</v>
          </cell>
        </row>
        <row r="49">
          <cell r="P49">
            <v>510</v>
          </cell>
        </row>
        <row r="50">
          <cell r="P50">
            <v>511</v>
          </cell>
        </row>
        <row r="51">
          <cell r="P51">
            <v>512</v>
          </cell>
        </row>
        <row r="52">
          <cell r="P52">
            <v>517</v>
          </cell>
        </row>
        <row r="53">
          <cell r="P53">
            <v>525</v>
          </cell>
        </row>
        <row r="54">
          <cell r="P54">
            <v>539</v>
          </cell>
        </row>
        <row r="55">
          <cell r="P55">
            <v>554</v>
          </cell>
        </row>
        <row r="56">
          <cell r="P56">
            <v>558</v>
          </cell>
        </row>
        <row r="57">
          <cell r="P57">
            <v>572</v>
          </cell>
        </row>
        <row r="58">
          <cell r="P58">
            <v>577</v>
          </cell>
        </row>
        <row r="59">
          <cell r="P59">
            <v>583</v>
          </cell>
        </row>
        <row r="60">
          <cell r="P60">
            <v>632</v>
          </cell>
        </row>
        <row r="61">
          <cell r="P61">
            <v>628</v>
          </cell>
        </row>
        <row r="62">
          <cell r="P62">
            <v>655</v>
          </cell>
        </row>
        <row r="63">
          <cell r="P63">
            <v>658</v>
          </cell>
        </row>
        <row r="64">
          <cell r="P64">
            <v>672</v>
          </cell>
        </row>
        <row r="65">
          <cell r="P65">
            <v>692</v>
          </cell>
        </row>
        <row r="66">
          <cell r="P66">
            <v>695</v>
          </cell>
        </row>
        <row r="67">
          <cell r="P67">
            <v>712</v>
          </cell>
        </row>
        <row r="68">
          <cell r="P68">
            <v>714</v>
          </cell>
        </row>
        <row r="69">
          <cell r="P69">
            <v>761</v>
          </cell>
        </row>
        <row r="70">
          <cell r="P70">
            <v>765</v>
          </cell>
        </row>
        <row r="71">
          <cell r="P71">
            <v>772</v>
          </cell>
        </row>
        <row r="72">
          <cell r="P72">
            <v>836</v>
          </cell>
        </row>
        <row r="73">
          <cell r="P73">
            <v>857</v>
          </cell>
        </row>
        <row r="74">
          <cell r="P74">
            <v>882</v>
          </cell>
        </row>
        <row r="75">
          <cell r="P75">
            <v>850</v>
          </cell>
        </row>
        <row r="76">
          <cell r="P76">
            <v>850</v>
          </cell>
        </row>
        <row r="77">
          <cell r="P77">
            <v>850</v>
          </cell>
        </row>
        <row r="78">
          <cell r="P78">
            <v>872</v>
          </cell>
        </row>
        <row r="79">
          <cell r="P79">
            <v>872</v>
          </cell>
        </row>
        <row r="80">
          <cell r="P80">
            <v>790</v>
          </cell>
        </row>
        <row r="83">
          <cell r="P83">
            <v>921</v>
          </cell>
        </row>
        <row r="84">
          <cell r="P84">
            <v>928</v>
          </cell>
        </row>
        <row r="85">
          <cell r="P85">
            <v>219</v>
          </cell>
        </row>
        <row r="86">
          <cell r="P86">
            <v>1012</v>
          </cell>
        </row>
        <row r="87">
          <cell r="P87">
            <v>1021</v>
          </cell>
        </row>
        <row r="88">
          <cell r="P88">
            <v>1024</v>
          </cell>
        </row>
        <row r="89">
          <cell r="P89">
            <v>1051</v>
          </cell>
        </row>
        <row r="90">
          <cell r="P90">
            <v>1051</v>
          </cell>
        </row>
        <row r="91">
          <cell r="P91">
            <v>1122</v>
          </cell>
        </row>
        <row r="92">
          <cell r="P92">
            <v>1154</v>
          </cell>
        </row>
        <row r="93">
          <cell r="P93">
            <v>1776</v>
          </cell>
        </row>
        <row r="94">
          <cell r="P94">
            <v>0</v>
          </cell>
        </row>
        <row r="95">
          <cell r="P95">
            <v>283</v>
          </cell>
        </row>
        <row r="96">
          <cell r="P96">
            <v>20</v>
          </cell>
        </row>
        <row r="97">
          <cell r="P97">
            <v>20</v>
          </cell>
        </row>
        <row r="98">
          <cell r="P98">
            <v>467</v>
          </cell>
        </row>
      </sheetData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ED SPM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IED SPM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OLY"/>
      <sheetName val="RM Rate_Current"/>
      <sheetName val="Quote summary"/>
      <sheetName val="Machining cost breakup"/>
      <sheetName val="scrap"/>
      <sheetName val="MINIMUM WAGES"/>
      <sheetName val="MUL SCRAP RA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Foglio2"/>
      <sheetName val="Foglio3"/>
      <sheetName val="Macro2"/>
    </sheetNames>
    <sheetDataSet>
      <sheetData sheetId="0" refreshError="1"/>
      <sheetData sheetId="1" refreshError="1">
        <row r="10">
          <cell r="A10" t="str">
            <v>RIGA</v>
          </cell>
          <cell r="B10" t="str">
            <v>MESE</v>
          </cell>
          <cell r="C10" t="str">
            <v>CITTA</v>
          </cell>
          <cell r="D10" t="str">
            <v>TIPO</v>
          </cell>
          <cell r="E10" t="str">
            <v>PRODOTTO</v>
          </cell>
          <cell r="F10" t="str">
            <v>Traffico95</v>
          </cell>
          <cell r="G10" t="str">
            <v>Fatturato95</v>
          </cell>
          <cell r="H10" t="str">
            <v>Traffico96</v>
          </cell>
          <cell r="I10" t="str">
            <v>Fatturato96</v>
          </cell>
          <cell r="J10" t="str">
            <v>REP97TRAF</v>
          </cell>
          <cell r="K10" t="str">
            <v>REP97FATT</v>
          </cell>
          <cell r="L10" t="str">
            <v>REP98TRAF</v>
          </cell>
          <cell r="M10" t="str">
            <v>REP98FATT</v>
          </cell>
          <cell r="N10" t="str">
            <v>TRA98TRA</v>
          </cell>
          <cell r="O10" t="str">
            <v>TRA98FATT</v>
          </cell>
          <cell r="P10" t="str">
            <v>BDG98TRA</v>
          </cell>
          <cell r="Q10" t="str">
            <v>BDG98FATT</v>
          </cell>
          <cell r="R10" t="str">
            <v>BDG%98TRA</v>
          </cell>
          <cell r="S10" t="str">
            <v>BDG%98FATT</v>
          </cell>
          <cell r="T10" t="str">
            <v>BDG98TRAF</v>
          </cell>
          <cell r="U10" t="str">
            <v>BDG98FATT</v>
          </cell>
          <cell r="V10" t="str">
            <v>CNS97TRAF</v>
          </cell>
          <cell r="W10" t="str">
            <v>CNS97FATT</v>
          </cell>
          <cell r="X10" t="str">
            <v>CNS95TRAF</v>
          </cell>
          <cell r="Y10" t="str">
            <v>CNS95FATT</v>
          </cell>
          <cell r="Z10" t="str">
            <v>CNS96TRAF</v>
          </cell>
          <cell r="AA10" t="str">
            <v>CNS96FATT</v>
          </cell>
          <cell r="AB10" t="str">
            <v>CNS97TRAF</v>
          </cell>
          <cell r="AC10" t="str">
            <v>CNS97FATT</v>
          </cell>
          <cell r="AD10" t="str">
            <v>CNS98TRAF</v>
          </cell>
          <cell r="AE10" t="str">
            <v>CNS98FATT</v>
          </cell>
          <cell r="AF10" t="str">
            <v>Traffico</v>
          </cell>
          <cell r="AG10" t="str">
            <v>Fatturato</v>
          </cell>
          <cell r="AH10" t="str">
            <v>Scostamento</v>
          </cell>
          <cell r="AI10" t="str">
            <v>Scostamento</v>
          </cell>
          <cell r="AJ10" t="str">
            <v>Scostamento</v>
          </cell>
          <cell r="AK10" t="str">
            <v>Scostamento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OEX I sosp"/>
      <sheetName val="OEX B SOSP"/>
      <sheetName val="OEX G1"/>
      <sheetName val="Dati"/>
      <sheetName val="OEX E sosp"/>
      <sheetName val="OEX - 11"/>
      <sheetName val="OEX- 10"/>
      <sheetName val="OEX - 09"/>
      <sheetName val="OEX - 08"/>
      <sheetName val="OEX - 07"/>
      <sheetName val="OEX - 06"/>
      <sheetName val="OEX - 05"/>
      <sheetName val="OEX - 04"/>
      <sheetName val="OEX - 03"/>
      <sheetName val="XX"/>
      <sheetName val="OEX - 02"/>
      <sheetName val="X"/>
      <sheetName val="OEX - 01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5">
          <cell r="A35" t="str">
            <v>MIXRICAVI</v>
          </cell>
        </row>
        <row r="36">
          <cell r="B36" t="str">
            <v>EVOLUZIONE RICAVI LOGISTICA</v>
          </cell>
        </row>
        <row r="37">
          <cell r="C37" t="str">
            <v>Gen</v>
          </cell>
          <cell r="D37" t="str">
            <v>Feb</v>
          </cell>
          <cell r="E37" t="str">
            <v>Mar</v>
          </cell>
          <cell r="F37" t="str">
            <v>Apr</v>
          </cell>
          <cell r="G37" t="str">
            <v>Mag</v>
          </cell>
          <cell r="H37" t="str">
            <v>Giu</v>
          </cell>
          <cell r="I37" t="str">
            <v>Lug</v>
          </cell>
          <cell r="J37" t="str">
            <v>Ago</v>
          </cell>
          <cell r="K37" t="str">
            <v>Set</v>
          </cell>
          <cell r="L37" t="str">
            <v>Ott</v>
          </cell>
          <cell r="M37" t="str">
            <v>Nov</v>
          </cell>
          <cell r="N37" t="str">
            <v>Dic</v>
          </cell>
        </row>
        <row r="38">
          <cell r="A38" t="str">
            <v>RIGA</v>
          </cell>
          <cell r="B38" t="str">
            <v>Logistica industriale</v>
          </cell>
        </row>
        <row r="39">
          <cell r="A39">
            <v>1</v>
          </cell>
          <cell r="B39" t="str">
            <v>LOGINDCUM</v>
          </cell>
          <cell r="C39">
            <v>595</v>
          </cell>
          <cell r="D39">
            <v>1095</v>
          </cell>
          <cell r="E39">
            <v>1495</v>
          </cell>
          <cell r="F39">
            <v>1989</v>
          </cell>
          <cell r="G39">
            <v>2253</v>
          </cell>
          <cell r="H39">
            <v>2870</v>
          </cell>
          <cell r="I39">
            <v>2950</v>
          </cell>
          <cell r="J39">
            <v>2950</v>
          </cell>
          <cell r="K39">
            <v>2950</v>
          </cell>
          <cell r="L39">
            <v>2950</v>
          </cell>
          <cell r="M39">
            <v>2950</v>
          </cell>
          <cell r="N39">
            <v>2950</v>
          </cell>
        </row>
        <row r="40">
          <cell r="A40">
            <v>2</v>
          </cell>
          <cell r="B40" t="str">
            <v>LOGINDBDG</v>
          </cell>
          <cell r="C40">
            <v>558</v>
          </cell>
          <cell r="D40">
            <v>1195</v>
          </cell>
          <cell r="E40">
            <v>1996</v>
          </cell>
          <cell r="F40">
            <v>2899</v>
          </cell>
          <cell r="G40">
            <v>3792</v>
          </cell>
          <cell r="H40">
            <v>4514</v>
          </cell>
          <cell r="I40">
            <v>5196</v>
          </cell>
          <cell r="J40">
            <v>5597</v>
          </cell>
          <cell r="K40">
            <v>6295</v>
          </cell>
          <cell r="L40">
            <v>7184</v>
          </cell>
          <cell r="M40">
            <v>7890</v>
          </cell>
          <cell r="N40">
            <v>8545</v>
          </cell>
        </row>
        <row r="41">
          <cell r="A41">
            <v>3</v>
          </cell>
          <cell r="B41" t="str">
            <v>LOGINDC97</v>
          </cell>
          <cell r="C41">
            <v>203</v>
          </cell>
          <cell r="D41">
            <v>937</v>
          </cell>
          <cell r="E41">
            <v>1473</v>
          </cell>
          <cell r="F41">
            <v>2288.4</v>
          </cell>
          <cell r="G41">
            <v>3013</v>
          </cell>
          <cell r="H41">
            <v>3764</v>
          </cell>
          <cell r="I41">
            <v>4594</v>
          </cell>
          <cell r="J41">
            <v>4946</v>
          </cell>
          <cell r="K41">
            <v>5731</v>
          </cell>
          <cell r="L41">
            <v>6543</v>
          </cell>
          <cell r="M41">
            <v>7194</v>
          </cell>
          <cell r="N41">
            <v>7600</v>
          </cell>
        </row>
        <row r="42">
          <cell r="A42">
            <v>4</v>
          </cell>
          <cell r="B42" t="str">
            <v>Logistica integrata</v>
          </cell>
        </row>
        <row r="43">
          <cell r="A43">
            <v>5</v>
          </cell>
          <cell r="B43" t="str">
            <v>LOGINTCUM</v>
          </cell>
          <cell r="C43">
            <v>1822.8</v>
          </cell>
          <cell r="D43">
            <v>4210.6000000000004</v>
          </cell>
          <cell r="E43">
            <v>6970.5522679999995</v>
          </cell>
          <cell r="F43">
            <v>9837.670768</v>
          </cell>
          <cell r="G43">
            <v>12438.856945</v>
          </cell>
          <cell r="H43">
            <v>15020.930969999999</v>
          </cell>
          <cell r="I43">
            <v>17844.1469</v>
          </cell>
          <cell r="J43">
            <v>17844.1469</v>
          </cell>
          <cell r="K43">
            <v>17844.1469</v>
          </cell>
          <cell r="L43">
            <v>17844.1469</v>
          </cell>
          <cell r="M43">
            <v>17844.1469</v>
          </cell>
          <cell r="N43">
            <v>17844.1469</v>
          </cell>
        </row>
        <row r="44">
          <cell r="A44">
            <v>6</v>
          </cell>
          <cell r="B44" t="str">
            <v>LOGINTBDG</v>
          </cell>
          <cell r="C44">
            <v>3736</v>
          </cell>
          <cell r="D44">
            <v>8002</v>
          </cell>
          <cell r="E44">
            <v>13367</v>
          </cell>
          <cell r="F44">
            <v>19414</v>
          </cell>
          <cell r="G44">
            <v>25397</v>
          </cell>
          <cell r="H44">
            <v>30230</v>
          </cell>
          <cell r="I44">
            <v>34799</v>
          </cell>
          <cell r="J44">
            <v>37484</v>
          </cell>
          <cell r="K44">
            <v>42155</v>
          </cell>
          <cell r="L44">
            <v>48109</v>
          </cell>
          <cell r="M44">
            <v>52838</v>
          </cell>
          <cell r="N44">
            <v>57224</v>
          </cell>
        </row>
        <row r="45">
          <cell r="A45">
            <v>7</v>
          </cell>
          <cell r="B45" t="str">
            <v>LOGINTC97</v>
          </cell>
          <cell r="C45">
            <v>1721.8</v>
          </cell>
          <cell r="D45">
            <v>3943.2</v>
          </cell>
          <cell r="E45">
            <v>6295.7</v>
          </cell>
          <cell r="F45">
            <v>8717.6</v>
          </cell>
          <cell r="G45">
            <v>11157.6</v>
          </cell>
          <cell r="H45">
            <v>13730.1</v>
          </cell>
          <cell r="I45">
            <v>16928.900000000001</v>
          </cell>
          <cell r="J45">
            <v>18700</v>
          </cell>
          <cell r="K45">
            <v>21406</v>
          </cell>
          <cell r="L45">
            <v>23932</v>
          </cell>
          <cell r="M45">
            <v>26182.799999999999</v>
          </cell>
          <cell r="N45">
            <v>28128.799999999999</v>
          </cell>
        </row>
        <row r="46">
          <cell r="A46">
            <v>8</v>
          </cell>
          <cell r="B46" t="str">
            <v>CI112 Diretti</v>
          </cell>
        </row>
        <row r="47">
          <cell r="A47">
            <v>9</v>
          </cell>
          <cell r="B47" t="str">
            <v>CIDIRCUM</v>
          </cell>
          <cell r="C47">
            <v>322.7</v>
          </cell>
          <cell r="D47">
            <v>759.5</v>
          </cell>
          <cell r="E47">
            <v>1166.4711499999999</v>
          </cell>
          <cell r="F47">
            <v>1461.4037499999999</v>
          </cell>
          <cell r="G47">
            <v>1801.5728570000001</v>
          </cell>
          <cell r="H47">
            <v>2250.3438820000001</v>
          </cell>
          <cell r="I47">
            <v>2714.1289820000002</v>
          </cell>
          <cell r="J47">
            <v>2714.1289820000002</v>
          </cell>
          <cell r="K47">
            <v>2714.1289820000002</v>
          </cell>
          <cell r="L47">
            <v>2714.1289820000002</v>
          </cell>
          <cell r="M47">
            <v>2714.1289820000002</v>
          </cell>
          <cell r="N47">
            <v>2714.1289820000002</v>
          </cell>
        </row>
        <row r="48">
          <cell r="A48">
            <v>10</v>
          </cell>
          <cell r="B48" t="str">
            <v>CIDIRBDG</v>
          </cell>
          <cell r="C48">
            <v>252</v>
          </cell>
          <cell r="D48">
            <v>539</v>
          </cell>
          <cell r="E48">
            <v>901</v>
          </cell>
          <cell r="F48">
            <v>1308</v>
          </cell>
          <cell r="G48">
            <v>1711</v>
          </cell>
          <cell r="H48">
            <v>2037</v>
          </cell>
          <cell r="I48">
            <v>2345</v>
          </cell>
          <cell r="J48">
            <v>2526</v>
          </cell>
          <cell r="K48">
            <v>2841</v>
          </cell>
          <cell r="L48">
            <v>3242</v>
          </cell>
          <cell r="M48">
            <v>3561</v>
          </cell>
          <cell r="N48">
            <v>3857</v>
          </cell>
        </row>
        <row r="49">
          <cell r="A49">
            <v>11</v>
          </cell>
          <cell r="B49" t="str">
            <v>CIDIRC97</v>
          </cell>
          <cell r="C49">
            <v>242.6</v>
          </cell>
          <cell r="D49">
            <v>538.29999999999995</v>
          </cell>
          <cell r="E49">
            <v>836.5</v>
          </cell>
          <cell r="F49">
            <v>1158.5</v>
          </cell>
          <cell r="G49">
            <v>1560.5</v>
          </cell>
          <cell r="H49">
            <v>1925.4</v>
          </cell>
          <cell r="I49">
            <v>2194.6</v>
          </cell>
          <cell r="J49">
            <v>2437</v>
          </cell>
          <cell r="K49">
            <v>2687</v>
          </cell>
          <cell r="L49">
            <v>3130</v>
          </cell>
          <cell r="M49">
            <v>3509</v>
          </cell>
          <cell r="N49">
            <v>3875.1</v>
          </cell>
        </row>
        <row r="50">
          <cell r="A50">
            <v>12</v>
          </cell>
          <cell r="B50" t="str">
            <v>CONC 1017</v>
          </cell>
        </row>
        <row r="51">
          <cell r="A51">
            <v>13</v>
          </cell>
          <cell r="B51" t="str">
            <v>CONCCUM</v>
          </cell>
          <cell r="C51">
            <v>661</v>
          </cell>
          <cell r="D51">
            <v>1530</v>
          </cell>
          <cell r="E51">
            <v>2533</v>
          </cell>
          <cell r="F51">
            <v>3480</v>
          </cell>
          <cell r="G51">
            <v>4267</v>
          </cell>
          <cell r="H51">
            <v>5353</v>
          </cell>
          <cell r="I51">
            <v>6208</v>
          </cell>
          <cell r="J51">
            <v>6208</v>
          </cell>
          <cell r="K51">
            <v>6208</v>
          </cell>
          <cell r="L51">
            <v>6208</v>
          </cell>
          <cell r="M51">
            <v>6208</v>
          </cell>
          <cell r="N51">
            <v>6208</v>
          </cell>
        </row>
        <row r="52">
          <cell r="A52">
            <v>14</v>
          </cell>
          <cell r="B52" t="str">
            <v>CONCBDG</v>
          </cell>
          <cell r="C52">
            <v>653</v>
          </cell>
          <cell r="D52">
            <v>1398</v>
          </cell>
          <cell r="E52">
            <v>2335</v>
          </cell>
          <cell r="F52">
            <v>3391</v>
          </cell>
          <cell r="G52">
            <v>4436</v>
          </cell>
          <cell r="H52">
            <v>5280</v>
          </cell>
          <cell r="I52">
            <v>6078</v>
          </cell>
          <cell r="J52">
            <v>6547</v>
          </cell>
          <cell r="K52">
            <v>7363</v>
          </cell>
          <cell r="L52">
            <v>8403</v>
          </cell>
          <cell r="M52">
            <v>9229</v>
          </cell>
          <cell r="N52">
            <v>9995</v>
          </cell>
        </row>
        <row r="53">
          <cell r="A53">
            <v>15</v>
          </cell>
          <cell r="B53" t="str">
            <v>CONCC97</v>
          </cell>
          <cell r="C53">
            <v>782</v>
          </cell>
          <cell r="D53">
            <v>1468</v>
          </cell>
          <cell r="E53">
            <v>2334</v>
          </cell>
          <cell r="F53">
            <v>2878</v>
          </cell>
          <cell r="G53">
            <v>4249</v>
          </cell>
          <cell r="H53">
            <v>4826</v>
          </cell>
          <cell r="I53">
            <v>5908</v>
          </cell>
          <cell r="J53">
            <v>6395</v>
          </cell>
          <cell r="K53">
            <v>7101</v>
          </cell>
          <cell r="L53">
            <v>7995</v>
          </cell>
          <cell r="M53">
            <v>8765</v>
          </cell>
          <cell r="N53">
            <v>9453</v>
          </cell>
        </row>
        <row r="54">
          <cell r="A54">
            <v>16</v>
          </cell>
          <cell r="B54" t="str">
            <v>TOTLOG</v>
          </cell>
          <cell r="C54">
            <v>3401.5</v>
          </cell>
          <cell r="D54">
            <v>7595.1</v>
          </cell>
          <cell r="E54">
            <v>12165.023417999999</v>
          </cell>
          <cell r="F54">
            <v>16768.074518000001</v>
          </cell>
          <cell r="G54">
            <v>20760.429801999999</v>
          </cell>
          <cell r="H54">
            <v>25494.274852000002</v>
          </cell>
          <cell r="I54">
            <v>29716.275882000002</v>
          </cell>
          <cell r="J54">
            <v>29716.275882000002</v>
          </cell>
          <cell r="K54">
            <v>29716.275882000002</v>
          </cell>
          <cell r="L54">
            <v>29716.275882000002</v>
          </cell>
          <cell r="M54">
            <v>29716.275882000002</v>
          </cell>
          <cell r="N54">
            <v>29716.275882000002</v>
          </cell>
        </row>
        <row r="55">
          <cell r="A55">
            <v>17</v>
          </cell>
        </row>
        <row r="56">
          <cell r="A56">
            <v>18</v>
          </cell>
          <cell r="B56" t="str">
            <v>EVOLUZIONE RICAVI COLLETTAME</v>
          </cell>
        </row>
        <row r="57">
          <cell r="A57">
            <v>19</v>
          </cell>
          <cell r="C57" t="str">
            <v>Gen</v>
          </cell>
          <cell r="D57" t="str">
            <v>Feb</v>
          </cell>
          <cell r="E57" t="str">
            <v>Mar</v>
          </cell>
          <cell r="F57" t="str">
            <v>Apr</v>
          </cell>
          <cell r="G57" t="str">
            <v>Mag</v>
          </cell>
          <cell r="H57" t="str">
            <v>Giu</v>
          </cell>
          <cell r="I57" t="str">
            <v>Lug</v>
          </cell>
          <cell r="J57" t="str">
            <v>Ago</v>
          </cell>
          <cell r="K57" t="str">
            <v>Set</v>
          </cell>
          <cell r="L57" t="str">
            <v>Ott</v>
          </cell>
          <cell r="M57" t="str">
            <v>Nov</v>
          </cell>
          <cell r="N57" t="str">
            <v>Dic</v>
          </cell>
        </row>
        <row r="58">
          <cell r="A58">
            <v>20</v>
          </cell>
          <cell r="B58" t="str">
            <v>BASE + 48 ORE</v>
          </cell>
        </row>
        <row r="59">
          <cell r="A59">
            <v>21</v>
          </cell>
          <cell r="B59" t="str">
            <v>BASECUM</v>
          </cell>
          <cell r="C59">
            <v>2647.6</v>
          </cell>
          <cell r="D59">
            <v>5816.1263999999992</v>
          </cell>
          <cell r="E59">
            <v>9114.786900000001</v>
          </cell>
          <cell r="F59">
            <v>12825.2534</v>
          </cell>
          <cell r="G59">
            <v>16813.494329999998</v>
          </cell>
          <cell r="H59">
            <v>20336.954304999999</v>
          </cell>
          <cell r="I59">
            <v>24196.369105999998</v>
          </cell>
          <cell r="J59">
            <v>25633.622221999998</v>
          </cell>
          <cell r="K59">
            <v>27070.875337999998</v>
          </cell>
          <cell r="L59">
            <v>28508.128453999998</v>
          </cell>
          <cell r="M59">
            <v>29945.381569999998</v>
          </cell>
          <cell r="N59">
            <v>31382.634685999998</v>
          </cell>
        </row>
        <row r="60">
          <cell r="A60">
            <v>22</v>
          </cell>
          <cell r="B60" t="str">
            <v>BASEBDG</v>
          </cell>
          <cell r="C60">
            <v>4169</v>
          </cell>
          <cell r="D60">
            <v>8721</v>
          </cell>
          <cell r="E60">
            <v>14068</v>
          </cell>
          <cell r="F60">
            <v>19908</v>
          </cell>
          <cell r="G60">
            <v>25701</v>
          </cell>
          <cell r="H60">
            <v>30663</v>
          </cell>
          <cell r="I60">
            <v>35435</v>
          </cell>
          <cell r="J60">
            <v>38843</v>
          </cell>
          <cell r="K60">
            <v>43688</v>
          </cell>
          <cell r="L60">
            <v>49461</v>
          </cell>
          <cell r="M60">
            <v>54348</v>
          </cell>
          <cell r="N60">
            <v>58987</v>
          </cell>
        </row>
        <row r="61">
          <cell r="A61">
            <v>23</v>
          </cell>
          <cell r="B61" t="str">
            <v>BASEC97</v>
          </cell>
          <cell r="C61">
            <v>2820.6</v>
          </cell>
          <cell r="D61">
            <v>5893.3</v>
          </cell>
          <cell r="E61">
            <v>9357.2000000000007</v>
          </cell>
          <cell r="F61">
            <v>12808.7</v>
          </cell>
          <cell r="G61">
            <v>16827</v>
          </cell>
          <cell r="H61">
            <v>20034.8</v>
          </cell>
          <cell r="I61">
            <v>23906</v>
          </cell>
          <cell r="J61">
            <v>26056</v>
          </cell>
          <cell r="K61">
            <v>29172</v>
          </cell>
          <cell r="L61">
            <v>32631</v>
          </cell>
          <cell r="M61">
            <v>37661</v>
          </cell>
          <cell r="N61">
            <v>39026.5</v>
          </cell>
        </row>
        <row r="62">
          <cell r="A62">
            <v>24</v>
          </cell>
          <cell r="B62" t="str">
            <v>Si suppone base + 48 ore pari a unificato + convenzione</v>
          </cell>
        </row>
        <row r="63">
          <cell r="A63">
            <v>25</v>
          </cell>
        </row>
        <row r="64">
          <cell r="A64">
            <v>26</v>
          </cell>
        </row>
        <row r="65">
          <cell r="A65">
            <v>27</v>
          </cell>
        </row>
        <row r="66">
          <cell r="A66">
            <v>28</v>
          </cell>
          <cell r="B66" t="str">
            <v>CI 112</v>
          </cell>
        </row>
        <row r="67">
          <cell r="A67">
            <v>29</v>
          </cell>
          <cell r="B67" t="str">
            <v>CICUM</v>
          </cell>
          <cell r="C67">
            <v>1255.2</v>
          </cell>
          <cell r="D67">
            <v>2618.6999999999998</v>
          </cell>
          <cell r="E67">
            <v>4227.6738999999998</v>
          </cell>
          <cell r="F67">
            <v>5694.3931999999995</v>
          </cell>
          <cell r="G67">
            <v>6992.2718999999997</v>
          </cell>
          <cell r="H67">
            <v>8897.4721000000009</v>
          </cell>
          <cell r="I67">
            <v>10253.349068</v>
          </cell>
          <cell r="J67">
            <v>10253.349068</v>
          </cell>
          <cell r="K67">
            <v>10253.349068</v>
          </cell>
          <cell r="L67">
            <v>10253.349068</v>
          </cell>
          <cell r="M67">
            <v>10253.349068</v>
          </cell>
          <cell r="N67">
            <v>10253.349068</v>
          </cell>
        </row>
        <row r="68">
          <cell r="A68">
            <v>30</v>
          </cell>
          <cell r="B68" t="str">
            <v>CIBDG</v>
          </cell>
          <cell r="C68">
            <v>1069</v>
          </cell>
          <cell r="D68">
            <v>2290</v>
          </cell>
          <cell r="E68">
            <v>3826</v>
          </cell>
          <cell r="F68">
            <v>5557</v>
          </cell>
          <cell r="G68">
            <v>7269</v>
          </cell>
          <cell r="H68">
            <v>8652</v>
          </cell>
          <cell r="I68">
            <v>9960</v>
          </cell>
          <cell r="J68">
            <v>10728</v>
          </cell>
          <cell r="K68">
            <v>12065</v>
          </cell>
          <cell r="L68">
            <v>13769</v>
          </cell>
          <cell r="M68">
            <v>15123</v>
          </cell>
          <cell r="N68">
            <v>16378</v>
          </cell>
        </row>
        <row r="69">
          <cell r="A69">
            <v>31</v>
          </cell>
          <cell r="B69" t="str">
            <v>CIC97</v>
          </cell>
          <cell r="C69">
            <v>1388.2</v>
          </cell>
          <cell r="D69">
            <v>2756</v>
          </cell>
          <cell r="E69">
            <v>3829</v>
          </cell>
          <cell r="F69">
            <v>5156.6000000000004</v>
          </cell>
          <cell r="G69">
            <v>6580.5</v>
          </cell>
          <cell r="H69">
            <v>8280.5</v>
          </cell>
          <cell r="I69">
            <v>9609</v>
          </cell>
          <cell r="J69">
            <v>10207</v>
          </cell>
          <cell r="K69">
            <v>11458</v>
          </cell>
          <cell r="L69">
            <v>13123</v>
          </cell>
          <cell r="M69">
            <v>14846</v>
          </cell>
          <cell r="N69">
            <v>16545.400000000001</v>
          </cell>
        </row>
        <row r="70">
          <cell r="A70">
            <v>32</v>
          </cell>
          <cell r="B70" t="str">
            <v>SERVIZI ACCESSORI</v>
          </cell>
        </row>
        <row r="71">
          <cell r="A71">
            <v>33</v>
          </cell>
          <cell r="B71" t="str">
            <v>SERACCCUM</v>
          </cell>
        </row>
        <row r="72">
          <cell r="A72">
            <v>34</v>
          </cell>
          <cell r="B72" t="str">
            <v>SERACCBDG</v>
          </cell>
        </row>
        <row r="73">
          <cell r="A73">
            <v>35</v>
          </cell>
          <cell r="B73" t="str">
            <v>SERACCC97</v>
          </cell>
        </row>
        <row r="74">
          <cell r="A74">
            <v>36</v>
          </cell>
          <cell r="B74" t="str">
            <v>TOTCOLL</v>
          </cell>
          <cell r="C74">
            <v>3902.8</v>
          </cell>
          <cell r="D74">
            <v>8434.8263999999981</v>
          </cell>
          <cell r="E74">
            <v>13342.460800000001</v>
          </cell>
          <cell r="F74">
            <v>18519.6466</v>
          </cell>
          <cell r="G74">
            <v>23805.766229999997</v>
          </cell>
          <cell r="H74">
            <v>29234.426404999998</v>
          </cell>
          <cell r="I74">
            <v>34449.718173999994</v>
          </cell>
          <cell r="J74">
            <v>35886.971290000001</v>
          </cell>
          <cell r="K74">
            <v>37324.224405999994</v>
          </cell>
          <cell r="L74">
            <v>38761.477522000001</v>
          </cell>
          <cell r="M74">
            <v>40198.730637999994</v>
          </cell>
          <cell r="N74">
            <v>41635.983754000001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rrezioni"/>
      <sheetName val="Ipotesi"/>
      <sheetName val="CE"/>
      <sheetName val="SP"/>
      <sheetName val="RF"/>
      <sheetName val="Scritture di rettifica"/>
      <sheetName val="Consolidamento"/>
      <sheetName val="SP (Schroders)"/>
      <sheetName val="CE (Schroders)"/>
      <sheetName val="RF (Schroders)"/>
      <sheetName val="Amm.ti Immobilizzazioni"/>
      <sheetName val="Partecipazioni SHI"/>
      <sheetName val="IVA"/>
      <sheetName val="Finanziamenti"/>
      <sheetName val="Pagamento investimenti"/>
      <sheetName val="Check List"/>
      <sheetName val="Quadratura"/>
      <sheetName val="Module1"/>
    </sheetNames>
    <sheetDataSet>
      <sheetData sheetId="0"/>
      <sheetData sheetId="1" refreshError="1">
        <row r="31">
          <cell r="F31">
            <v>1623.6138966662099</v>
          </cell>
        </row>
        <row r="32">
          <cell r="F32">
            <v>1623.6138966662099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PIL"/>
      <sheetName val="SPIL (FEB-08)"/>
      <sheetName val="General Assmp."/>
      <sheetName val="Process Assmp."/>
      <sheetName val="RECO"/>
      <sheetName val="Customerwise P&amp;L"/>
    </sheetNames>
    <sheetDataSet>
      <sheetData sheetId="0">
        <row r="18">
          <cell r="C18" t="str">
            <v>Sales</v>
          </cell>
          <cell r="E18">
            <v>2828.8291650000001</v>
          </cell>
          <cell r="G18">
            <v>1058.4757999999999</v>
          </cell>
          <cell r="I18">
            <v>93.558295999999999</v>
          </cell>
          <cell r="K18">
            <v>3980.8632610000004</v>
          </cell>
          <cell r="O18">
            <v>11961.530116397333</v>
          </cell>
          <cell r="P18">
            <v>11961.53</v>
          </cell>
          <cell r="Q18">
            <v>7746.3967495481684</v>
          </cell>
          <cell r="R18">
            <v>6258.0800000000008</v>
          </cell>
        </row>
        <row r="19">
          <cell r="C19" t="str">
            <v>Customer Rejection</v>
          </cell>
          <cell r="K19">
            <v>0</v>
          </cell>
          <cell r="Q19">
            <v>0</v>
          </cell>
          <cell r="R19">
            <v>0</v>
          </cell>
        </row>
        <row r="24">
          <cell r="C24" t="str">
            <v>[ A ]        COST OF MATERIALS:</v>
          </cell>
        </row>
        <row r="26">
          <cell r="C26" t="str">
            <v>Net Raw Material (BOM)</v>
          </cell>
          <cell r="E26">
            <v>2794.0310897628983</v>
          </cell>
          <cell r="F26">
            <v>0.98769877104363712</v>
          </cell>
          <cell r="G26">
            <v>992.19805790097803</v>
          </cell>
          <cell r="H26">
            <v>0.93738379082542844</v>
          </cell>
          <cell r="I26">
            <v>114.60021991570002</v>
          </cell>
          <cell r="J26">
            <v>1.2249070880438013</v>
          </cell>
          <cell r="K26">
            <v>3902.7544501414454</v>
          </cell>
          <cell r="L26">
            <v>0.98037892644447833</v>
          </cell>
          <cell r="O26">
            <v>11212.544444581061</v>
          </cell>
          <cell r="P26">
            <v>10638.11697777235</v>
          </cell>
          <cell r="Q26">
            <v>7651.1065495451503</v>
          </cell>
          <cell r="R26">
            <v>7665.5665495451522</v>
          </cell>
        </row>
        <row r="27">
          <cell r="C27" t="str">
            <v>Inhouse Rejections</v>
          </cell>
          <cell r="E27">
            <v>3.2647091999999995</v>
          </cell>
          <cell r="F27">
            <v>1.1540849622143935E-3</v>
          </cell>
          <cell r="G27">
            <v>2.2272932999999999</v>
          </cell>
          <cell r="H27">
            <v>2.1042458410480431E-3</v>
          </cell>
          <cell r="I27">
            <v>0.13365299999999999</v>
          </cell>
          <cell r="J27">
            <v>1.4285531664663923E-3</v>
          </cell>
          <cell r="K27">
            <v>5.6289138308032616</v>
          </cell>
          <cell r="L27">
            <v>1.4139932627048506E-3</v>
          </cell>
          <cell r="O27">
            <v>25.169999999999998</v>
          </cell>
          <cell r="P27">
            <v>45.82</v>
          </cell>
          <cell r="Q27">
            <v>8.9399999999999977</v>
          </cell>
          <cell r="R27">
            <v>8.94</v>
          </cell>
        </row>
        <row r="28">
          <cell r="C28" t="str">
            <v>Packing Materials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O28">
            <v>0</v>
          </cell>
          <cell r="Q28">
            <v>0</v>
          </cell>
          <cell r="R28">
            <v>0</v>
          </cell>
        </row>
        <row r="29">
          <cell r="C29" t="str">
            <v>Direct Consumables</v>
          </cell>
          <cell r="E29">
            <v>3.8514249329930585</v>
          </cell>
          <cell r="F29">
            <v>1.3614908177012727E-3</v>
          </cell>
          <cell r="G29">
            <v>1.7585587596963017</v>
          </cell>
          <cell r="H29">
            <v>1.6614066752365069E-3</v>
          </cell>
          <cell r="I29">
            <v>0.16619445053395002</v>
          </cell>
          <cell r="J29">
            <v>1.7763732094260248E-3</v>
          </cell>
          <cell r="K29">
            <v>5.7792010407162477</v>
          </cell>
          <cell r="L29">
            <v>1.4517456797208607E-3</v>
          </cell>
          <cell r="O29">
            <v>19.87296598142504</v>
          </cell>
          <cell r="Q29">
            <v>10.546648044780817</v>
          </cell>
          <cell r="R29">
            <v>11.116685654444817</v>
          </cell>
        </row>
        <row r="30">
          <cell r="C30" t="str">
            <v>Jobwork Charges</v>
          </cell>
          <cell r="E30">
            <v>6.7558299999999996</v>
          </cell>
          <cell r="F30">
            <v>2.3882071365734095E-3</v>
          </cell>
          <cell r="G30">
            <v>1.637065</v>
          </cell>
          <cell r="H30">
            <v>1.5466248732375364E-3</v>
          </cell>
          <cell r="I30">
            <v>0.27657500000000002</v>
          </cell>
          <cell r="J30">
            <v>2.9561782527548386E-3</v>
          </cell>
          <cell r="K30">
            <v>8.6734048320098101</v>
          </cell>
          <cell r="L30">
            <v>2.1787748695068299E-3</v>
          </cell>
          <cell r="O30">
            <v>18.5</v>
          </cell>
          <cell r="Q30">
            <v>18.5</v>
          </cell>
          <cell r="R30">
            <v>18.5</v>
          </cell>
        </row>
        <row r="31">
          <cell r="C31" t="str">
            <v>Freight Inwards</v>
          </cell>
          <cell r="E31">
            <v>1.6361985222819984</v>
          </cell>
          <cell r="F31">
            <v>5.7840131971419293E-4</v>
          </cell>
          <cell r="G31">
            <v>0.74708745309105007</v>
          </cell>
          <cell r="H31">
            <v>7.0581439187466556E-4</v>
          </cell>
          <cell r="I31">
            <v>7.0604287791166925E-2</v>
          </cell>
          <cell r="J31">
            <v>7.5465555498324731E-4</v>
          </cell>
          <cell r="K31">
            <v>2.4551744788758039</v>
          </cell>
          <cell r="L31">
            <v>6.1674423809750733E-4</v>
          </cell>
          <cell r="O31">
            <v>8.4426201049954805</v>
          </cell>
          <cell r="Q31">
            <v>4.4805261029683949</v>
          </cell>
          <cell r="R31">
            <v>4.7226948355295608</v>
          </cell>
        </row>
        <row r="32">
          <cell r="P32">
            <v>828.75</v>
          </cell>
          <cell r="Q32">
            <v>0</v>
          </cell>
          <cell r="R32">
            <v>0</v>
          </cell>
        </row>
        <row r="33">
          <cell r="C33" t="str">
            <v>TOTAL RAW MATERIAL COST</v>
          </cell>
          <cell r="E33">
            <v>2809.5392524181739</v>
          </cell>
          <cell r="G33">
            <v>998.56806241376535</v>
          </cell>
          <cell r="I33">
            <v>115.24724665402513</v>
          </cell>
          <cell r="K33">
            <v>3925.2911443238509</v>
          </cell>
          <cell r="O33">
            <v>11284.530030667482</v>
          </cell>
          <cell r="P33">
            <v>11512.68697777235</v>
          </cell>
          <cell r="Q33">
            <v>7693.5737236928999</v>
          </cell>
          <cell r="R33">
            <v>7708.845930035126</v>
          </cell>
        </row>
        <row r="36">
          <cell r="C36" t="str">
            <v>[ B ]        PROCESS COST :</v>
          </cell>
        </row>
        <row r="38">
          <cell r="C38" t="str">
            <v>Press Shop Cost</v>
          </cell>
          <cell r="E38">
            <v>2.2449119628506669</v>
          </cell>
          <cell r="F38">
            <v>7.9358343396133176E-4</v>
          </cell>
          <cell r="G38">
            <v>0.5439844996786668</v>
          </cell>
          <cell r="H38">
            <v>5.1393191953813858E-4</v>
          </cell>
          <cell r="I38">
            <v>9.190381139333334E-2</v>
          </cell>
          <cell r="J38">
            <v>9.8231600320439075E-4</v>
          </cell>
          <cell r="K38">
            <v>2.8821077892761666</v>
          </cell>
          <cell r="L38">
            <v>7.2399065235719136E-4</v>
          </cell>
          <cell r="O38">
            <v>6.1474121333333338</v>
          </cell>
          <cell r="Q38">
            <v>6.1474121333333338</v>
          </cell>
          <cell r="R38">
            <v>6.1474121333333338</v>
          </cell>
        </row>
        <row r="39">
          <cell r="C39" t="str">
            <v>Weld Shop Cost</v>
          </cell>
          <cell r="E39">
            <v>22.294681672366398</v>
          </cell>
          <cell r="F39">
            <v>7.881240036764962E-3</v>
          </cell>
          <cell r="G39">
            <v>5.4024217678616093</v>
          </cell>
          <cell r="H39">
            <v>5.1039634235016135E-3</v>
          </cell>
          <cell r="I39">
            <v>0.91271562243791449</v>
          </cell>
          <cell r="J39">
            <v>9.755581936185696E-3</v>
          </cell>
          <cell r="K39">
            <v>28.622804266126188</v>
          </cell>
          <cell r="L39">
            <v>7.1900998325011758E-3</v>
          </cell>
          <cell r="O39">
            <v>61.051212203204983</v>
          </cell>
          <cell r="Q39">
            <v>61.051212203204983</v>
          </cell>
          <cell r="R39">
            <v>61.051212203204983</v>
          </cell>
        </row>
        <row r="40">
          <cell r="C40" t="str">
            <v>Pipe Preparation Cost</v>
          </cell>
          <cell r="E40">
            <v>0.54776999999999998</v>
          </cell>
          <cell r="F40">
            <v>1.9363841647892512E-4</v>
          </cell>
          <cell r="G40">
            <v>0.13273499999999999</v>
          </cell>
          <cell r="H40">
            <v>1.2540201674898945E-4</v>
          </cell>
          <cell r="I40">
            <v>2.2425E-2</v>
          </cell>
          <cell r="J40">
            <v>2.3969012860174368E-4</v>
          </cell>
          <cell r="K40">
            <v>0.70324904043322789</v>
          </cell>
          <cell r="L40">
            <v>1.7665742185190515E-4</v>
          </cell>
          <cell r="O40">
            <v>1.4999999999999998</v>
          </cell>
          <cell r="Q40">
            <v>1.5</v>
          </cell>
          <cell r="R40">
            <v>1.5</v>
          </cell>
        </row>
        <row r="41">
          <cell r="C41" t="str">
            <v>Assy. Cost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</row>
        <row r="43">
          <cell r="C43" t="str">
            <v>TOTAL PROCESS COST</v>
          </cell>
          <cell r="E43">
            <v>25.087363635217066</v>
          </cell>
          <cell r="G43">
            <v>6.0791412675402761</v>
          </cell>
          <cell r="I43">
            <v>1.0270444338312477</v>
          </cell>
          <cell r="K43">
            <v>32.208161095835578</v>
          </cell>
          <cell r="O43">
            <v>68.698624336538316</v>
          </cell>
          <cell r="P43">
            <v>0</v>
          </cell>
          <cell r="Q43">
            <v>68.698624336538316</v>
          </cell>
          <cell r="R43">
            <v>68.698624336538316</v>
          </cell>
        </row>
        <row r="46">
          <cell r="C46" t="str">
            <v>[ C ]        OVERHEADS :</v>
          </cell>
        </row>
        <row r="48">
          <cell r="C48" t="str">
            <v>Personnel Exps.</v>
          </cell>
          <cell r="E48">
            <v>11.549037118713979</v>
          </cell>
          <cell r="F48">
            <v>4.082620916669593E-3</v>
          </cell>
          <cell r="G48">
            <v>5.2732847568156958</v>
          </cell>
          <cell r="H48">
            <v>4.9819606237721222E-3</v>
          </cell>
          <cell r="I48">
            <v>0.498357338266814</v>
          </cell>
          <cell r="J48">
            <v>5.3267038795449416E-3</v>
          </cell>
          <cell r="K48">
            <v>17.329743795336931</v>
          </cell>
          <cell r="L48">
            <v>4.353262762153671E-3</v>
          </cell>
          <cell r="O48">
            <v>59.591872039955874</v>
          </cell>
          <cell r="Q48">
            <v>31.625601398526697</v>
          </cell>
          <cell r="R48">
            <v>33.334939014502609</v>
          </cell>
        </row>
        <row r="49">
          <cell r="C49" t="str">
            <v>Finance Cost (W.C.)</v>
          </cell>
          <cell r="E49">
            <v>50.091951572677729</v>
          </cell>
          <cell r="F49">
            <v>1.7707662305114041E-2</v>
          </cell>
          <cell r="G49">
            <v>18.743132024535427</v>
          </cell>
          <cell r="H49">
            <v>1.7707662305114041E-2</v>
          </cell>
          <cell r="I49">
            <v>1.6566987114099017</v>
          </cell>
          <cell r="J49">
            <v>1.7707662305114041E-2</v>
          </cell>
          <cell r="K49">
            <v>70.527197633233286</v>
          </cell>
          <cell r="L49">
            <v>1.7716558698254992E-2</v>
          </cell>
          <cell r="O49">
            <v>211.81073595361539</v>
          </cell>
          <cell r="P49">
            <v>243</v>
          </cell>
          <cell r="Q49">
            <v>137.17057772243203</v>
          </cell>
          <cell r="R49">
            <v>110.81596731838806</v>
          </cell>
        </row>
        <row r="50">
          <cell r="C50" t="str">
            <v>Finance Cost (T.L.)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O50">
            <v>0</v>
          </cell>
          <cell r="Q50">
            <v>0</v>
          </cell>
          <cell r="R50">
            <v>0</v>
          </cell>
        </row>
        <row r="51">
          <cell r="C51" t="str">
            <v>Power &amp; Fuel Charges</v>
          </cell>
          <cell r="E51">
            <v>1.2721620524624926</v>
          </cell>
          <cell r="F51">
            <v>4.4971328357415761E-4</v>
          </cell>
          <cell r="G51">
            <v>0.5808685772235912</v>
          </cell>
          <cell r="H51">
            <v>5.48778325610837E-4</v>
          </cell>
          <cell r="I51">
            <v>5.4895597597650787E-2</v>
          </cell>
          <cell r="J51">
            <v>5.86752858321092E-4</v>
          </cell>
          <cell r="K51">
            <v>1.9089247188929195</v>
          </cell>
          <cell r="L51">
            <v>4.7952531743413715E-4</v>
          </cell>
          <cell r="O51">
            <v>6.5642284690201285</v>
          </cell>
          <cell r="Q51">
            <v>3.4836575181074885</v>
          </cell>
          <cell r="R51">
            <v>3.6719463276020594</v>
          </cell>
        </row>
        <row r="52">
          <cell r="C52" t="str">
            <v>Freight Outwards &amp; Export Exps.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Q52">
            <v>0</v>
          </cell>
          <cell r="R52">
            <v>0</v>
          </cell>
        </row>
        <row r="53">
          <cell r="C53" t="str">
            <v>Royalty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O53">
            <v>0</v>
          </cell>
          <cell r="Q53">
            <v>0</v>
          </cell>
          <cell r="R53">
            <v>0</v>
          </cell>
        </row>
        <row r="54">
          <cell r="C54" t="str">
            <v>Other Overheads (m/c rep., etc.)</v>
          </cell>
          <cell r="E54">
            <v>3.17435783895748</v>
          </cell>
          <cell r="F54">
            <v>1.1221454721382865E-3</v>
          </cell>
          <cell r="G54">
            <v>1.4494102523688888</v>
          </cell>
          <cell r="H54">
            <v>1.3693371661108254E-3</v>
          </cell>
          <cell r="I54">
            <v>0.13697804475542302</v>
          </cell>
          <cell r="J54">
            <v>1.4640929838592083E-3</v>
          </cell>
          <cell r="K54">
            <v>4.7632376187200407</v>
          </cell>
          <cell r="O54">
            <v>16.379367751936815</v>
          </cell>
          <cell r="Q54">
            <v>8.6925840378922175</v>
          </cell>
          <cell r="R54">
            <v>9.1624110204296336</v>
          </cell>
        </row>
        <row r="55">
          <cell r="C55" t="str">
            <v>Depriciation</v>
          </cell>
          <cell r="E55">
            <v>1.3778600231664253</v>
          </cell>
          <cell r="F55">
            <v>4.8707784839542448E-4</v>
          </cell>
          <cell r="G55">
            <v>0.62913021947221048</v>
          </cell>
          <cell r="H55">
            <v>5.9437373955286506E-4</v>
          </cell>
          <cell r="I55">
            <v>5.9456615005315072E-2</v>
          </cell>
          <cell r="J55">
            <v>6.3550339785276846E-4</v>
          </cell>
          <cell r="K55">
            <v>2.0675283092318995</v>
          </cell>
          <cell r="L55">
            <v>5.1936682414771822E-4</v>
          </cell>
          <cell r="O55">
            <v>7.1096193860573003</v>
          </cell>
          <cell r="Q55">
            <v>3.7730982615872315</v>
          </cell>
          <cell r="R55">
            <v>3.9770311040344528</v>
          </cell>
        </row>
        <row r="56">
          <cell r="Q56">
            <v>0</v>
          </cell>
          <cell r="R56">
            <v>0</v>
          </cell>
        </row>
        <row r="57">
          <cell r="C57" t="str">
            <v>TOTAL OVERHEADS COST</v>
          </cell>
          <cell r="E57">
            <v>67.489217825803976</v>
          </cell>
          <cell r="G57">
            <v>26.701027942575973</v>
          </cell>
          <cell r="I57">
            <v>2.4321070224597965</v>
          </cell>
          <cell r="K57">
            <v>96.619700789017074</v>
          </cell>
          <cell r="O57">
            <v>301.45582360058552</v>
          </cell>
          <cell r="P57">
            <v>243</v>
          </cell>
          <cell r="Q57">
            <v>184.74551893854567</v>
          </cell>
          <cell r="R57">
            <v>160.96229478495681</v>
          </cell>
        </row>
        <row r="58">
          <cell r="C58" t="str">
            <v>TOTAL OVERHEADS COST %</v>
          </cell>
          <cell r="E58">
            <v>2.3857650600050986E-2</v>
          </cell>
          <cell r="G58">
            <v>2.5225921974386164E-2</v>
          </cell>
          <cell r="I58">
            <v>2.5995631883460088E-2</v>
          </cell>
          <cell r="K58">
            <v>2.4271042347921799E-2</v>
          </cell>
          <cell r="O58">
            <v>2.5202112160160689E-2</v>
          </cell>
          <cell r="P58">
            <v>2.031512691102225E-2</v>
          </cell>
          <cell r="Q58">
            <v>2.3849219825891502E-2</v>
          </cell>
          <cell r="R58">
            <v>2.5720715424692044E-2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RAW MATERIAL UPTO MARCH'09"/>
      <sheetName val="WEIGHTED RATE"/>
      <sheetName val="TOTAL SALE  UPTO MARCH'09"/>
      <sheetName val="Rates Applied "/>
      <sheetName val="FINAL BOM"/>
      <sheetName val="P.V.TABLE - BOM"/>
      <sheetName val="CONTRIBUTION"/>
      <sheetName val="SUMMARY"/>
      <sheetName val="SUMMARY MSIL"/>
      <sheetName val="graph data"/>
      <sheetName val="Sales Graph"/>
      <sheetName val="Customerwise P&amp;L"/>
      <sheetName val="Modelwise P&amp;L"/>
      <sheetName val="PURCHASE DATA UPTO AUGUST-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eral Assmp."/>
      <sheetName val="Process Assmp."/>
      <sheetName val="SPIL"/>
      <sheetName val="RECO"/>
      <sheetName val="Customerwise P&amp;L"/>
    </sheetNames>
    <sheetDataSet>
      <sheetData sheetId="0" refreshError="1"/>
      <sheetData sheetId="1" refreshError="1"/>
      <sheetData sheetId="2">
        <row r="18">
          <cell r="C18" t="str">
            <v>Sales</v>
          </cell>
          <cell r="E18">
            <v>2828.8291650000001</v>
          </cell>
          <cell r="G18">
            <v>1058.4757999999999</v>
          </cell>
          <cell r="I18">
            <v>93.558295999999999</v>
          </cell>
          <cell r="K18">
            <v>3980.8632610000004</v>
          </cell>
          <cell r="O18">
            <v>11961.530116397333</v>
          </cell>
          <cell r="P18">
            <v>11961.53</v>
          </cell>
          <cell r="Q18">
            <v>7746.3967495481684</v>
          </cell>
          <cell r="R18">
            <v>6258.0800000000008</v>
          </cell>
        </row>
        <row r="19">
          <cell r="C19" t="str">
            <v>Customer Rejection</v>
          </cell>
          <cell r="K19">
            <v>0</v>
          </cell>
          <cell r="Q19">
            <v>0</v>
          </cell>
          <cell r="R19">
            <v>0</v>
          </cell>
        </row>
        <row r="24">
          <cell r="C24" t="str">
            <v>[ A ]        COST OF MATERIALS:</v>
          </cell>
        </row>
        <row r="26">
          <cell r="C26" t="str">
            <v>Net Raw Material (BOM)</v>
          </cell>
          <cell r="E26">
            <v>2734.6338096758432</v>
          </cell>
          <cell r="G26">
            <v>992.19805790097803</v>
          </cell>
          <cell r="I26">
            <v>112.16857158528357</v>
          </cell>
          <cell r="K26">
            <v>3839.0004391621051</v>
          </cell>
          <cell r="L26">
            <v>0.96436380439697411</v>
          </cell>
          <cell r="O26">
            <v>11212.544444581061</v>
          </cell>
          <cell r="P26">
            <v>10638.11697777235</v>
          </cell>
          <cell r="Q26">
            <v>7488.4544873099376</v>
          </cell>
          <cell r="R26">
            <v>7502.9144873099376</v>
          </cell>
        </row>
        <row r="27">
          <cell r="C27" t="str">
            <v>Inhouse Rejections</v>
          </cell>
          <cell r="E27">
            <v>4.5796820990503253</v>
          </cell>
          <cell r="G27">
            <v>2.6798777999999999</v>
          </cell>
          <cell r="I27">
            <v>0.18748630094967511</v>
          </cell>
          <cell r="K27">
            <v>7.4470461999999999</v>
          </cell>
          <cell r="L27">
            <v>1.8707113788503471E-3</v>
          </cell>
          <cell r="O27">
            <v>30.284527065205104</v>
          </cell>
          <cell r="P27">
            <v>45.82</v>
          </cell>
          <cell r="Q27">
            <v>12.540889695630444</v>
          </cell>
          <cell r="R27">
            <v>12.540889695630442</v>
          </cell>
        </row>
        <row r="28">
          <cell r="C28" t="str">
            <v>Packing Materials</v>
          </cell>
          <cell r="E28">
            <v>0</v>
          </cell>
          <cell r="G28">
            <v>0</v>
          </cell>
          <cell r="I28">
            <v>0</v>
          </cell>
          <cell r="K28">
            <v>0</v>
          </cell>
          <cell r="L28">
            <v>0</v>
          </cell>
          <cell r="O28">
            <v>0</v>
          </cell>
          <cell r="Q28">
            <v>0</v>
          </cell>
          <cell r="R28">
            <v>0</v>
          </cell>
        </row>
        <row r="29">
          <cell r="C29" t="str">
            <v>Direct Consumables</v>
          </cell>
          <cell r="E29">
            <v>3.8514249329930585</v>
          </cell>
          <cell r="G29">
            <v>1.7585587596963017</v>
          </cell>
          <cell r="I29">
            <v>0.16619445053395002</v>
          </cell>
          <cell r="K29">
            <v>5.7761781432233095</v>
          </cell>
          <cell r="L29">
            <v>1.4509863224421134E-3</v>
          </cell>
          <cell r="O29">
            <v>19.87296598142504</v>
          </cell>
          <cell r="Q29">
            <v>10.546648044780817</v>
          </cell>
          <cell r="R29">
            <v>11.116685654444817</v>
          </cell>
        </row>
        <row r="30">
          <cell r="C30" t="str">
            <v>Jobwork Charges</v>
          </cell>
          <cell r="E30">
            <v>6.7558299999999996</v>
          </cell>
          <cell r="G30">
            <v>1.637065</v>
          </cell>
          <cell r="I30">
            <v>0.27657500000000002</v>
          </cell>
          <cell r="K30">
            <v>8.6694699999999987</v>
          </cell>
          <cell r="L30">
            <v>2.1777864326397917E-3</v>
          </cell>
          <cell r="O30">
            <v>18.5</v>
          </cell>
          <cell r="Q30">
            <v>18.5</v>
          </cell>
          <cell r="R30">
            <v>18.5</v>
          </cell>
        </row>
        <row r="31">
          <cell r="C31" t="str">
            <v>Freight Inwards</v>
          </cell>
          <cell r="E31">
            <v>1.6361985222819984</v>
          </cell>
          <cell r="G31">
            <v>0.74708745309105007</v>
          </cell>
          <cell r="I31">
            <v>7.0604287791166925E-2</v>
          </cell>
          <cell r="K31">
            <v>2.4538902631642152</v>
          </cell>
          <cell r="L31">
            <v>6.1642164080456092E-4</v>
          </cell>
          <cell r="O31">
            <v>8.4426201049954805</v>
          </cell>
          <cell r="Q31">
            <v>4.4805261029683949</v>
          </cell>
          <cell r="R31">
            <v>4.7226948355295608</v>
          </cell>
        </row>
        <row r="32">
          <cell r="P32">
            <v>828.75</v>
          </cell>
          <cell r="Q32">
            <v>0</v>
          </cell>
          <cell r="R32">
            <v>0</v>
          </cell>
        </row>
        <row r="33">
          <cell r="C33" t="str">
            <v>TOTAL RAW MATERIAL COST</v>
          </cell>
          <cell r="E33">
            <v>2751.4569452301689</v>
          </cell>
          <cell r="G33">
            <v>999.02064691376529</v>
          </cell>
          <cell r="I33">
            <v>112.86943162455836</v>
          </cell>
          <cell r="K33">
            <v>3863.3470237684924</v>
          </cell>
          <cell r="O33">
            <v>11289.644557732687</v>
          </cell>
          <cell r="P33">
            <v>11512.68697777235</v>
          </cell>
          <cell r="Q33">
            <v>7534.5225511533181</v>
          </cell>
          <cell r="R33">
            <v>7549.7947574955424</v>
          </cell>
        </row>
        <row r="36">
          <cell r="C36" t="str">
            <v>[ B ]        PROCESS COST :</v>
          </cell>
        </row>
        <row r="38">
          <cell r="C38" t="str">
            <v>Press Shop Cost</v>
          </cell>
          <cell r="E38">
            <v>2.2449119628506669</v>
          </cell>
          <cell r="G38">
            <v>0.5439844996786668</v>
          </cell>
          <cell r="I38">
            <v>9.190381139333334E-2</v>
          </cell>
          <cell r="K38">
            <v>2.880800273922667</v>
          </cell>
          <cell r="L38">
            <v>7.2366220215235543E-4</v>
          </cell>
          <cell r="O38">
            <v>6.1474121333333338</v>
          </cell>
          <cell r="Q38">
            <v>6.1474121333333338</v>
          </cell>
          <cell r="R38">
            <v>6.1474121333333338</v>
          </cell>
        </row>
        <row r="39">
          <cell r="C39" t="str">
            <v>Weld Shop Cost</v>
          </cell>
          <cell r="E39">
            <v>22.294681672366398</v>
          </cell>
          <cell r="G39">
            <v>5.4024217678616093</v>
          </cell>
          <cell r="I39">
            <v>0.91271562243791449</v>
          </cell>
          <cell r="K39">
            <v>28.60981906266592</v>
          </cell>
          <cell r="L39">
            <v>7.1868379260731198E-3</v>
          </cell>
          <cell r="O39">
            <v>61.051212203204983</v>
          </cell>
          <cell r="Q39">
            <v>61.051212203204983</v>
          </cell>
          <cell r="R39">
            <v>61.051212203204983</v>
          </cell>
        </row>
        <row r="40">
          <cell r="C40" t="str">
            <v>Pipe Preparation Cost</v>
          </cell>
          <cell r="E40">
            <v>0.54776999999999998</v>
          </cell>
          <cell r="G40">
            <v>0.13273499999999999</v>
          </cell>
          <cell r="I40">
            <v>2.2425E-2</v>
          </cell>
          <cell r="K40">
            <v>0.70292999999999994</v>
          </cell>
          <cell r="L40">
            <v>1.7657727832214528E-4</v>
          </cell>
          <cell r="O40">
            <v>1.4999999999999998</v>
          </cell>
          <cell r="Q40">
            <v>1.5</v>
          </cell>
          <cell r="R40">
            <v>1.5</v>
          </cell>
        </row>
        <row r="41">
          <cell r="C41" t="str">
            <v>Assy. Cost</v>
          </cell>
          <cell r="E41">
            <v>0</v>
          </cell>
          <cell r="G41">
            <v>0</v>
          </cell>
          <cell r="I41">
            <v>0</v>
          </cell>
          <cell r="K41">
            <v>0</v>
          </cell>
          <cell r="L41">
            <v>0</v>
          </cell>
          <cell r="O41">
            <v>0</v>
          </cell>
        </row>
        <row r="43">
          <cell r="C43" t="str">
            <v>TOTAL PROCESS COST</v>
          </cell>
          <cell r="E43">
            <v>25.087363635217066</v>
          </cell>
          <cell r="G43">
            <v>6.0791412675402761</v>
          </cell>
          <cell r="I43">
            <v>1.0270444338312477</v>
          </cell>
          <cell r="K43">
            <v>32.193549336588589</v>
          </cell>
          <cell r="O43">
            <v>68.698624336538316</v>
          </cell>
          <cell r="P43">
            <v>0</v>
          </cell>
          <cell r="Q43">
            <v>68.698624336538316</v>
          </cell>
          <cell r="R43">
            <v>68.698624336538316</v>
          </cell>
        </row>
        <row r="46">
          <cell r="C46" t="str">
            <v>[ C ]        OVERHEADS :</v>
          </cell>
        </row>
        <row r="48">
          <cell r="C48" t="str">
            <v>Personnel Exps.</v>
          </cell>
          <cell r="E48">
            <v>11.549037118713979</v>
          </cell>
          <cell r="G48">
            <v>5.2732847568156958</v>
          </cell>
          <cell r="I48">
            <v>0.498357338266814</v>
          </cell>
          <cell r="K48">
            <v>17.320679213796488</v>
          </cell>
          <cell r="L48">
            <v>4.3509857229925303E-3</v>
          </cell>
          <cell r="O48">
            <v>59.591872039955874</v>
          </cell>
          <cell r="Q48">
            <v>31.625601398526697</v>
          </cell>
          <cell r="R48">
            <v>33.334939014502609</v>
          </cell>
        </row>
        <row r="49">
          <cell r="C49" t="str">
            <v>Finance Cost (W.C.)</v>
          </cell>
          <cell r="E49">
            <v>65.993290286276959</v>
          </cell>
          <cell r="G49">
            <v>24.693007833295312</v>
          </cell>
          <cell r="I49">
            <v>2.1826060983139728</v>
          </cell>
          <cell r="K49">
            <v>92.868904217886239</v>
          </cell>
          <cell r="L49">
            <v>2.3328835513570841E-2</v>
          </cell>
          <cell r="O49">
            <v>279.04856857605728</v>
          </cell>
          <cell r="P49">
            <v>243</v>
          </cell>
          <cell r="Q49">
            <v>180.71441559306905</v>
          </cell>
          <cell r="R49">
            <v>145.9937189507674</v>
          </cell>
        </row>
        <row r="50">
          <cell r="C50" t="str">
            <v>Finance Cost (T.L.)</v>
          </cell>
          <cell r="E50">
            <v>0</v>
          </cell>
          <cell r="G50">
            <v>0</v>
          </cell>
          <cell r="I50">
            <v>0</v>
          </cell>
          <cell r="K50">
            <v>0</v>
          </cell>
          <cell r="L50">
            <v>0</v>
          </cell>
          <cell r="O50">
            <v>0</v>
          </cell>
          <cell r="Q50">
            <v>0</v>
          </cell>
          <cell r="R50">
            <v>0</v>
          </cell>
        </row>
        <row r="51">
          <cell r="C51" t="str">
            <v>Power &amp; Fuel Charges</v>
          </cell>
          <cell r="E51">
            <v>1.2721620524624926</v>
          </cell>
          <cell r="G51">
            <v>0.5808685772235912</v>
          </cell>
          <cell r="I51">
            <v>5.4895597597650787E-2</v>
          </cell>
          <cell r="K51">
            <v>1.9079262272837345</v>
          </cell>
          <cell r="L51">
            <v>4.7927449454881799E-4</v>
          </cell>
          <cell r="O51">
            <v>6.5642284690201285</v>
          </cell>
          <cell r="Q51">
            <v>3.4836575181074885</v>
          </cell>
          <cell r="R51">
            <v>3.6719463276020594</v>
          </cell>
        </row>
        <row r="52">
          <cell r="C52" t="str">
            <v>Freight Outwards &amp; Export Exps.</v>
          </cell>
          <cell r="E52">
            <v>0</v>
          </cell>
          <cell r="G52">
            <v>0</v>
          </cell>
          <cell r="I52">
            <v>0</v>
          </cell>
          <cell r="K52">
            <v>0</v>
          </cell>
          <cell r="L52">
            <v>0</v>
          </cell>
          <cell r="O52">
            <v>0</v>
          </cell>
          <cell r="Q52">
            <v>0</v>
          </cell>
          <cell r="R52">
            <v>0</v>
          </cell>
        </row>
        <row r="53">
          <cell r="C53" t="str">
            <v>Royalty</v>
          </cell>
          <cell r="E53">
            <v>8.3480147999999996</v>
          </cell>
          <cell r="G53">
            <v>3.1971436999999998</v>
          </cell>
          <cell r="I53">
            <v>0.48677199999999998</v>
          </cell>
          <cell r="K53">
            <v>12.0319305</v>
          </cell>
          <cell r="L53">
            <v>3.0224425485485167E-3</v>
          </cell>
          <cell r="O53">
            <v>36.130000000000003</v>
          </cell>
          <cell r="Q53">
            <v>22.86</v>
          </cell>
          <cell r="R53">
            <v>32.56</v>
          </cell>
        </row>
        <row r="54">
          <cell r="C54" t="str">
            <v>Other Overheads (m/c rep., etc.)</v>
          </cell>
          <cell r="E54">
            <v>3.17435783895748</v>
          </cell>
          <cell r="G54">
            <v>1.4494102523688888</v>
          </cell>
          <cell r="I54">
            <v>0.13697804475542302</v>
          </cell>
          <cell r="K54">
            <v>4.7607461360817922</v>
          </cell>
          <cell r="O54">
            <v>16.379367751936815</v>
          </cell>
          <cell r="Q54">
            <v>8.6925840378922175</v>
          </cell>
          <cell r="R54">
            <v>9.1624110204296336</v>
          </cell>
        </row>
        <row r="55">
          <cell r="C55" t="str">
            <v>Depriciation</v>
          </cell>
          <cell r="E55">
            <v>1.3778600231664253</v>
          </cell>
          <cell r="G55">
            <v>0.62913021947221048</v>
          </cell>
          <cell r="I55">
            <v>5.9456615005315072E-2</v>
          </cell>
          <cell r="K55">
            <v>2.066446857643951</v>
          </cell>
          <cell r="L55">
            <v>5.1909516156675413E-4</v>
          </cell>
          <cell r="O55">
            <v>7.1096193860573003</v>
          </cell>
          <cell r="Q55">
            <v>3.7730982615872315</v>
          </cell>
          <cell r="R55">
            <v>3.9770311040344528</v>
          </cell>
        </row>
        <row r="56">
          <cell r="Q56">
            <v>0</v>
          </cell>
          <cell r="R56">
            <v>0</v>
          </cell>
        </row>
        <row r="57">
          <cell r="C57" t="str">
            <v>TOTAL OVERHEADS COST</v>
          </cell>
          <cell r="E57">
            <v>91.714722119577331</v>
          </cell>
          <cell r="G57">
            <v>35.822845339175693</v>
          </cell>
          <cell r="I57">
            <v>3.4190656939391757</v>
          </cell>
          <cell r="K57">
            <v>130.98833378613341</v>
          </cell>
          <cell r="O57">
            <v>404.8236562230274</v>
          </cell>
          <cell r="P57">
            <v>243</v>
          </cell>
          <cell r="Q57">
            <v>251.14935680918268</v>
          </cell>
          <cell r="R57">
            <v>228.70004641733615</v>
          </cell>
        </row>
        <row r="58">
          <cell r="C58" t="str">
            <v>TOTAL OVERHEADS COST %</v>
          </cell>
          <cell r="E58">
            <v>3.2421442501487124E-2</v>
          </cell>
          <cell r="G58">
            <v>3.3843801945378151E-2</v>
          </cell>
          <cell r="I58">
            <v>3.6544762357997369E-2</v>
          </cell>
          <cell r="K58">
            <v>3.2904504676010624E-2</v>
          </cell>
          <cell r="O58">
            <v>3.3843801945378151E-2</v>
          </cell>
          <cell r="P58">
            <v>2.031512691102225E-2</v>
          </cell>
          <cell r="Q58">
            <v>3.2421442501487124E-2</v>
          </cell>
          <cell r="R58">
            <v>3.6544762357997362E-2</v>
          </cell>
        </row>
      </sheetData>
      <sheetData sheetId="3" refreshError="1"/>
      <sheetData sheetId="4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OST SHEET PLANT-1"/>
      <sheetName val="SUMMARY "/>
      <sheetName val="P &amp; L PLANT-1 UPTO DEC'07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 &amp; L PLANT-1 UPTO DEC'07"/>
      <sheetName val="Customerwise P&amp;L"/>
      <sheetName val="RECO"/>
      <sheetName val="MARTIX P-1 DEC-07 "/>
      <sheetName val="SUMMARY "/>
      <sheetName val="COST SHEET PLANT-1"/>
      <sheetName val="BOM_P1 08.03.2008(F)"/>
      <sheetName val="SALES_REJECTION"/>
      <sheetName val="P.TABLE BOM"/>
      <sheetName val="JOB WORK"/>
      <sheetName val="Modalwise P&amp;L "/>
      <sheetName val="Categorywise P&amp;L"/>
      <sheetName val="Exps Covered through Process"/>
      <sheetName val="WORKING MODEL-M"/>
      <sheetName val="WORKING MODEL-L"/>
      <sheetName val="MODAL MASTER (MUL)"/>
      <sheetName val="Sheet2"/>
      <sheetName val="BOM"/>
      <sheetName val="RM IMPACT"/>
      <sheetName val="Control Sheet"/>
      <sheetName val="BOM_P1 08.03.2008(FINAL)"/>
      <sheetName val="BOM TO BE VERIFIED"/>
      <sheetName val="Item Purchased but not in BOM"/>
      <sheetName val="paint shop product to be verifi"/>
      <sheetName val="PRICE FOR INTERUNIT"/>
      <sheetName val="WIP BOM 8.3.08"/>
      <sheetName val="Ledgerwise Purchase Details"/>
      <sheetName val="item in BOm but Not Purchased"/>
      <sheetName val="BOM_P1 08.03.2008 (ORG COPY)"/>
      <sheetName val="Sales Provision"/>
      <sheetName val="Wett. Avg. Rate (Dec-07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PIL"/>
      <sheetName val="SPIL (FEB-08)"/>
      <sheetName val="General Assmp."/>
      <sheetName val="Process Assmp."/>
      <sheetName val="RECO"/>
      <sheetName val="Customerwise P&amp;L"/>
    </sheetNames>
    <sheetDataSet>
      <sheetData sheetId="0" refreshError="1">
        <row r="18">
          <cell r="C18" t="str">
            <v>Sales</v>
          </cell>
          <cell r="E18">
            <v>2828.8291650000001</v>
          </cell>
          <cell r="G18">
            <v>1058.4757999999999</v>
          </cell>
          <cell r="I18">
            <v>93.558295999999999</v>
          </cell>
          <cell r="K18">
            <v>3980.8632610000004</v>
          </cell>
          <cell r="O18">
            <v>11961.530116397333</v>
          </cell>
          <cell r="P18">
            <v>11961.53</v>
          </cell>
          <cell r="Q18">
            <v>7746.3967495481684</v>
          </cell>
          <cell r="R18">
            <v>6258.0800000000008</v>
          </cell>
        </row>
        <row r="19">
          <cell r="C19" t="str">
            <v>Customer Rejection</v>
          </cell>
          <cell r="K19">
            <v>0</v>
          </cell>
          <cell r="Q19">
            <v>0</v>
          </cell>
          <cell r="R19">
            <v>0</v>
          </cell>
        </row>
        <row r="24">
          <cell r="C24" t="str">
            <v>[ A ]        COST OF MATERIALS:</v>
          </cell>
        </row>
        <row r="26">
          <cell r="C26" t="str">
            <v>Net Raw Material (BOM)</v>
          </cell>
          <cell r="E26">
            <v>2794.0310897628983</v>
          </cell>
          <cell r="F26">
            <v>0.98769877104363712</v>
          </cell>
          <cell r="G26">
            <v>992.19805790097803</v>
          </cell>
          <cell r="H26">
            <v>0.93738379082542844</v>
          </cell>
          <cell r="I26">
            <v>114.60021991570002</v>
          </cell>
          <cell r="J26">
            <v>1.2249070880438013</v>
          </cell>
          <cell r="K26">
            <v>3902.7544501414454</v>
          </cell>
          <cell r="L26">
            <v>0.98037892644447833</v>
          </cell>
          <cell r="O26">
            <v>11212.544444581061</v>
          </cell>
          <cell r="P26">
            <v>10638.11697777235</v>
          </cell>
          <cell r="Q26">
            <v>7651.1065495451503</v>
          </cell>
          <cell r="R26">
            <v>7665.5665495451522</v>
          </cell>
        </row>
        <row r="27">
          <cell r="C27" t="str">
            <v>Inhouse Rejections</v>
          </cell>
          <cell r="E27">
            <v>3.2647091999999995</v>
          </cell>
          <cell r="F27">
            <v>1.1540849622143935E-3</v>
          </cell>
          <cell r="G27">
            <v>2.2272932999999999</v>
          </cell>
          <cell r="H27">
            <v>2.1042458410480431E-3</v>
          </cell>
          <cell r="I27">
            <v>0.13365299999999999</v>
          </cell>
          <cell r="J27">
            <v>1.4285531664663923E-3</v>
          </cell>
          <cell r="K27">
            <v>5.6289138308032616</v>
          </cell>
          <cell r="L27">
            <v>1.4139932627048506E-3</v>
          </cell>
          <cell r="O27">
            <v>25.169999999999998</v>
          </cell>
          <cell r="P27">
            <v>45.82</v>
          </cell>
          <cell r="Q27">
            <v>8.9399999999999977</v>
          </cell>
          <cell r="R27">
            <v>8.94</v>
          </cell>
        </row>
        <row r="28">
          <cell r="C28" t="str">
            <v>Packing Materials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O28">
            <v>0</v>
          </cell>
          <cell r="Q28">
            <v>0</v>
          </cell>
          <cell r="R28">
            <v>0</v>
          </cell>
        </row>
        <row r="29">
          <cell r="C29" t="str">
            <v>Direct Consumables</v>
          </cell>
          <cell r="E29">
            <v>3.8514249329930585</v>
          </cell>
          <cell r="F29">
            <v>1.3614908177012727E-3</v>
          </cell>
          <cell r="G29">
            <v>1.7585587596963017</v>
          </cell>
          <cell r="H29">
            <v>1.6614066752365069E-3</v>
          </cell>
          <cell r="I29">
            <v>0.16619445053395002</v>
          </cell>
          <cell r="J29">
            <v>1.7763732094260248E-3</v>
          </cell>
          <cell r="K29">
            <v>5.7792010407162477</v>
          </cell>
          <cell r="L29">
            <v>1.4517456797208607E-3</v>
          </cell>
          <cell r="O29">
            <v>19.87296598142504</v>
          </cell>
          <cell r="Q29">
            <v>10.546648044780817</v>
          </cell>
          <cell r="R29">
            <v>11.116685654444817</v>
          </cell>
        </row>
        <row r="30">
          <cell r="C30" t="str">
            <v>Jobwork Charges</v>
          </cell>
          <cell r="E30">
            <v>6.7558299999999996</v>
          </cell>
          <cell r="F30">
            <v>2.3882071365734095E-3</v>
          </cell>
          <cell r="G30">
            <v>1.637065</v>
          </cell>
          <cell r="H30">
            <v>1.5466248732375364E-3</v>
          </cell>
          <cell r="I30">
            <v>0.27657500000000002</v>
          </cell>
          <cell r="J30">
            <v>2.9561782527548386E-3</v>
          </cell>
          <cell r="K30">
            <v>8.6734048320098101</v>
          </cell>
          <cell r="L30">
            <v>2.1787748695068299E-3</v>
          </cell>
          <cell r="O30">
            <v>18.5</v>
          </cell>
          <cell r="Q30">
            <v>18.5</v>
          </cell>
          <cell r="R30">
            <v>18.5</v>
          </cell>
        </row>
        <row r="31">
          <cell r="C31" t="str">
            <v>Freight Inwards</v>
          </cell>
          <cell r="E31">
            <v>1.6361985222819984</v>
          </cell>
          <cell r="F31">
            <v>5.7840131971419293E-4</v>
          </cell>
          <cell r="G31">
            <v>0.74708745309105007</v>
          </cell>
          <cell r="H31">
            <v>7.0581439187466556E-4</v>
          </cell>
          <cell r="I31">
            <v>7.0604287791166925E-2</v>
          </cell>
          <cell r="J31">
            <v>7.5465555498324731E-4</v>
          </cell>
          <cell r="K31">
            <v>2.4551744788758039</v>
          </cell>
          <cell r="L31">
            <v>6.1674423809750733E-4</v>
          </cell>
          <cell r="O31">
            <v>8.4426201049954805</v>
          </cell>
          <cell r="Q31">
            <v>4.4805261029683949</v>
          </cell>
          <cell r="R31">
            <v>4.7226948355295608</v>
          </cell>
        </row>
        <row r="32">
          <cell r="P32">
            <v>828.75</v>
          </cell>
          <cell r="Q32">
            <v>0</v>
          </cell>
          <cell r="R32">
            <v>0</v>
          </cell>
        </row>
        <row r="33">
          <cell r="C33" t="str">
            <v>TOTAL RAW MATERIAL COST</v>
          </cell>
          <cell r="E33">
            <v>2809.5392524181739</v>
          </cell>
          <cell r="G33">
            <v>998.56806241376535</v>
          </cell>
          <cell r="I33">
            <v>115.24724665402513</v>
          </cell>
          <cell r="K33">
            <v>3925.2911443238509</v>
          </cell>
          <cell r="O33">
            <v>11284.530030667482</v>
          </cell>
          <cell r="P33">
            <v>11512.68697777235</v>
          </cell>
          <cell r="Q33">
            <v>7693.5737236928999</v>
          </cell>
          <cell r="R33">
            <v>7708.845930035126</v>
          </cell>
        </row>
        <row r="36">
          <cell r="C36" t="str">
            <v>[ B ]        PROCESS COST :</v>
          </cell>
        </row>
        <row r="38">
          <cell r="C38" t="str">
            <v>Press Shop Cost</v>
          </cell>
          <cell r="E38">
            <v>2.2449119628506669</v>
          </cell>
          <cell r="F38">
            <v>7.9358343396133176E-4</v>
          </cell>
          <cell r="G38">
            <v>0.5439844996786668</v>
          </cell>
          <cell r="H38">
            <v>5.1393191953813858E-4</v>
          </cell>
          <cell r="I38">
            <v>9.190381139333334E-2</v>
          </cell>
          <cell r="J38">
            <v>9.8231600320439075E-4</v>
          </cell>
          <cell r="K38">
            <v>2.8821077892761666</v>
          </cell>
          <cell r="L38">
            <v>7.2399065235719136E-4</v>
          </cell>
          <cell r="O38">
            <v>6.1474121333333338</v>
          </cell>
          <cell r="Q38">
            <v>6.1474121333333338</v>
          </cell>
          <cell r="R38">
            <v>6.1474121333333338</v>
          </cell>
        </row>
        <row r="39">
          <cell r="C39" t="str">
            <v>Weld Shop Cost</v>
          </cell>
          <cell r="E39">
            <v>22.294681672366398</v>
          </cell>
          <cell r="F39">
            <v>7.881240036764962E-3</v>
          </cell>
          <cell r="G39">
            <v>5.4024217678616093</v>
          </cell>
          <cell r="H39">
            <v>5.1039634235016135E-3</v>
          </cell>
          <cell r="I39">
            <v>0.91271562243791449</v>
          </cell>
          <cell r="J39">
            <v>9.755581936185696E-3</v>
          </cell>
          <cell r="K39">
            <v>28.622804266126188</v>
          </cell>
          <cell r="L39">
            <v>7.1900998325011758E-3</v>
          </cell>
          <cell r="O39">
            <v>61.051212203204983</v>
          </cell>
          <cell r="Q39">
            <v>61.051212203204983</v>
          </cell>
          <cell r="R39">
            <v>61.051212203204983</v>
          </cell>
        </row>
        <row r="40">
          <cell r="C40" t="str">
            <v>Pipe Preparation Cost</v>
          </cell>
          <cell r="E40">
            <v>0.54776999999999998</v>
          </cell>
          <cell r="F40">
            <v>1.9363841647892512E-4</v>
          </cell>
          <cell r="G40">
            <v>0.13273499999999999</v>
          </cell>
          <cell r="H40">
            <v>1.2540201674898945E-4</v>
          </cell>
          <cell r="I40">
            <v>2.2425E-2</v>
          </cell>
          <cell r="J40">
            <v>2.3969012860174368E-4</v>
          </cell>
          <cell r="K40">
            <v>0.70324904043322789</v>
          </cell>
          <cell r="L40">
            <v>1.7665742185190515E-4</v>
          </cell>
          <cell r="O40">
            <v>1.4999999999999998</v>
          </cell>
          <cell r="Q40">
            <v>1.5</v>
          </cell>
          <cell r="R40">
            <v>1.5</v>
          </cell>
        </row>
        <row r="41">
          <cell r="C41" t="str">
            <v>Assy. Cost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</row>
        <row r="43">
          <cell r="C43" t="str">
            <v>TOTAL PROCESS COST</v>
          </cell>
          <cell r="E43">
            <v>25.087363635217066</v>
          </cell>
          <cell r="G43">
            <v>6.0791412675402761</v>
          </cell>
          <cell r="I43">
            <v>1.0270444338312477</v>
          </cell>
          <cell r="K43">
            <v>32.208161095835578</v>
          </cell>
          <cell r="O43">
            <v>68.698624336538316</v>
          </cell>
          <cell r="P43">
            <v>0</v>
          </cell>
          <cell r="Q43">
            <v>68.698624336538316</v>
          </cell>
          <cell r="R43">
            <v>68.698624336538316</v>
          </cell>
        </row>
        <row r="46">
          <cell r="C46" t="str">
            <v>[ C ]        OVERHEADS :</v>
          </cell>
        </row>
        <row r="48">
          <cell r="C48" t="str">
            <v>Personnel Exps.</v>
          </cell>
          <cell r="E48">
            <v>11.549037118713979</v>
          </cell>
          <cell r="F48">
            <v>4.082620916669593E-3</v>
          </cell>
          <cell r="G48">
            <v>5.2732847568156958</v>
          </cell>
          <cell r="H48">
            <v>4.9819606237721222E-3</v>
          </cell>
          <cell r="I48">
            <v>0.498357338266814</v>
          </cell>
          <cell r="J48">
            <v>5.3267038795449416E-3</v>
          </cell>
          <cell r="K48">
            <v>17.329743795336931</v>
          </cell>
          <cell r="L48">
            <v>4.353262762153671E-3</v>
          </cell>
          <cell r="O48">
            <v>59.591872039955874</v>
          </cell>
          <cell r="Q48">
            <v>31.625601398526697</v>
          </cell>
          <cell r="R48">
            <v>33.334939014502609</v>
          </cell>
        </row>
        <row r="49">
          <cell r="C49" t="str">
            <v>Finance Cost (W.C.)</v>
          </cell>
          <cell r="E49">
            <v>50.091951572677729</v>
          </cell>
          <cell r="F49">
            <v>1.7707662305114041E-2</v>
          </cell>
          <cell r="G49">
            <v>18.743132024535427</v>
          </cell>
          <cell r="H49">
            <v>1.7707662305114041E-2</v>
          </cell>
          <cell r="I49">
            <v>1.6566987114099017</v>
          </cell>
          <cell r="J49">
            <v>1.7707662305114041E-2</v>
          </cell>
          <cell r="K49">
            <v>70.527197633233286</v>
          </cell>
          <cell r="L49">
            <v>1.7716558698254992E-2</v>
          </cell>
          <cell r="O49">
            <v>211.81073595361539</v>
          </cell>
          <cell r="P49">
            <v>243</v>
          </cell>
          <cell r="Q49">
            <v>137.17057772243203</v>
          </cell>
          <cell r="R49">
            <v>110.81596731838806</v>
          </cell>
        </row>
        <row r="50">
          <cell r="C50" t="str">
            <v>Finance Cost (T.L.)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O50">
            <v>0</v>
          </cell>
          <cell r="Q50">
            <v>0</v>
          </cell>
          <cell r="R50">
            <v>0</v>
          </cell>
        </row>
        <row r="51">
          <cell r="C51" t="str">
            <v>Power &amp; Fuel Charges</v>
          </cell>
          <cell r="E51">
            <v>1.2721620524624926</v>
          </cell>
          <cell r="F51">
            <v>4.4971328357415761E-4</v>
          </cell>
          <cell r="G51">
            <v>0.5808685772235912</v>
          </cell>
          <cell r="H51">
            <v>5.48778325610837E-4</v>
          </cell>
          <cell r="I51">
            <v>5.4895597597650787E-2</v>
          </cell>
          <cell r="J51">
            <v>5.86752858321092E-4</v>
          </cell>
          <cell r="K51">
            <v>1.9089247188929195</v>
          </cell>
          <cell r="L51">
            <v>4.7952531743413715E-4</v>
          </cell>
          <cell r="O51">
            <v>6.5642284690201285</v>
          </cell>
          <cell r="Q51">
            <v>3.4836575181074885</v>
          </cell>
          <cell r="R51">
            <v>3.6719463276020594</v>
          </cell>
        </row>
        <row r="52">
          <cell r="C52" t="str">
            <v>Freight Outwards &amp; Export Exps.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Q52">
            <v>0</v>
          </cell>
          <cell r="R52">
            <v>0</v>
          </cell>
        </row>
        <row r="53">
          <cell r="C53" t="str">
            <v>Royalty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O53">
            <v>0</v>
          </cell>
          <cell r="Q53">
            <v>0</v>
          </cell>
          <cell r="R53">
            <v>0</v>
          </cell>
        </row>
        <row r="54">
          <cell r="C54" t="str">
            <v>Other Overheads (m/c rep., etc.)</v>
          </cell>
          <cell r="E54">
            <v>3.17435783895748</v>
          </cell>
          <cell r="F54">
            <v>1.1221454721382865E-3</v>
          </cell>
          <cell r="G54">
            <v>1.4494102523688888</v>
          </cell>
          <cell r="H54">
            <v>1.3693371661108254E-3</v>
          </cell>
          <cell r="I54">
            <v>0.13697804475542302</v>
          </cell>
          <cell r="J54">
            <v>1.4640929838592083E-3</v>
          </cell>
          <cell r="K54">
            <v>4.7632376187200407</v>
          </cell>
          <cell r="O54">
            <v>16.379367751936815</v>
          </cell>
          <cell r="Q54">
            <v>8.6925840378922175</v>
          </cell>
          <cell r="R54">
            <v>9.1624110204296336</v>
          </cell>
        </row>
        <row r="55">
          <cell r="C55" t="str">
            <v>Depriciation</v>
          </cell>
          <cell r="E55">
            <v>1.3778600231664253</v>
          </cell>
          <cell r="F55">
            <v>4.8707784839542448E-4</v>
          </cell>
          <cell r="G55">
            <v>0.62913021947221048</v>
          </cell>
          <cell r="H55">
            <v>5.9437373955286506E-4</v>
          </cell>
          <cell r="I55">
            <v>5.9456615005315072E-2</v>
          </cell>
          <cell r="J55">
            <v>6.3550339785276846E-4</v>
          </cell>
          <cell r="K55">
            <v>2.0675283092318995</v>
          </cell>
          <cell r="L55">
            <v>5.1936682414771822E-4</v>
          </cell>
          <cell r="O55">
            <v>7.1096193860573003</v>
          </cell>
          <cell r="Q55">
            <v>3.7730982615872315</v>
          </cell>
          <cell r="R55">
            <v>3.9770311040344528</v>
          </cell>
        </row>
        <row r="56">
          <cell r="Q56">
            <v>0</v>
          </cell>
          <cell r="R56">
            <v>0</v>
          </cell>
        </row>
        <row r="57">
          <cell r="C57" t="str">
            <v>TOTAL OVERHEADS COST</v>
          </cell>
          <cell r="E57">
            <v>67.489217825803976</v>
          </cell>
          <cell r="G57">
            <v>26.701027942575973</v>
          </cell>
          <cell r="I57">
            <v>2.4321070224597965</v>
          </cell>
          <cell r="K57">
            <v>96.619700789017074</v>
          </cell>
          <cell r="O57">
            <v>301.45582360058552</v>
          </cell>
          <cell r="P57">
            <v>243</v>
          </cell>
          <cell r="Q57">
            <v>184.74551893854567</v>
          </cell>
          <cell r="R57">
            <v>160.96229478495681</v>
          </cell>
        </row>
        <row r="58">
          <cell r="C58" t="str">
            <v>TOTAL OVERHEADS COST %</v>
          </cell>
          <cell r="E58">
            <v>2.3857650600050986E-2</v>
          </cell>
          <cell r="G58">
            <v>2.5225921974386164E-2</v>
          </cell>
          <cell r="I58">
            <v>2.5995631883460088E-2</v>
          </cell>
          <cell r="K58">
            <v>2.4271042347921799E-2</v>
          </cell>
          <cell r="O58">
            <v>2.5202112160160689E-2</v>
          </cell>
          <cell r="P58">
            <v>2.031512691102225E-2</v>
          </cell>
          <cell r="Q58">
            <v>2.3849219825891502E-2</v>
          </cell>
          <cell r="R58">
            <v>2.5720715424692044E-2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Master Plan"/>
      <sheetName val="Costing"/>
      <sheetName val="coil"/>
      <sheetName val="Volume"/>
      <sheetName val="Summary"/>
      <sheetName val="Tracking sheet"/>
      <sheetName val="Sheet1"/>
      <sheetName val="Monthwise"/>
    </sheetNames>
    <sheetDataSet>
      <sheetData sheetId="0" refreshError="1"/>
      <sheetData sheetId="1" refreshError="1"/>
      <sheetData sheetId="2" refreshError="1"/>
      <sheetData sheetId="3" refreshError="1">
        <row r="8">
          <cell r="C8">
            <v>90000</v>
          </cell>
        </row>
        <row r="10">
          <cell r="C10">
            <v>160000</v>
          </cell>
        </row>
        <row r="11">
          <cell r="C11">
            <v>90000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Master Plan"/>
      <sheetName val="Costing"/>
      <sheetName val="Volume"/>
      <sheetName val="Summary"/>
      <sheetName val="Costing MSIL"/>
    </sheetNames>
    <sheetDataSet>
      <sheetData sheetId="0" refreshError="1">
        <row r="5">
          <cell r="W5">
            <v>1.8063365512500029</v>
          </cell>
        </row>
        <row r="7">
          <cell r="W7">
            <v>4.2376256999999908</v>
          </cell>
        </row>
        <row r="9">
          <cell r="W9">
            <v>1.7444568487499943</v>
          </cell>
        </row>
        <row r="11">
          <cell r="W11">
            <v>1.7592583008000195</v>
          </cell>
        </row>
        <row r="13">
          <cell r="W13">
            <v>8.58834900000004</v>
          </cell>
        </row>
        <row r="15">
          <cell r="W15">
            <v>14.019389999999945</v>
          </cell>
        </row>
        <row r="23">
          <cell r="W23">
            <v>9.7746073424999782</v>
          </cell>
        </row>
        <row r="31">
          <cell r="W31">
            <v>25.817375583999986</v>
          </cell>
        </row>
        <row r="33">
          <cell r="W33">
            <v>39.408734365000001</v>
          </cell>
        </row>
        <row r="35">
          <cell r="W35">
            <v>5.8209920999999909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Yield Improvememnt"/>
      <sheetName val="Process Improvement"/>
      <sheetName val="VAVE(weld-1)"/>
      <sheetName val="VAVE(Weld-4)"/>
      <sheetName val="MRO Consumption (Maint Power)"/>
      <sheetName val="MRO Con (Maint)"/>
      <sheetName val="Store"/>
      <sheetName val="MRO Con (Paint)"/>
      <sheetName val="Freight "/>
      <sheetName val="Tools Offloading"/>
      <sheetName val="Corporate Purchase"/>
    </sheetNames>
    <sheetDataSet>
      <sheetData sheetId="0" refreshError="1"/>
      <sheetData sheetId="1" refreshError="1">
        <row r="5">
          <cell r="BH5">
            <v>5.1636157961142892</v>
          </cell>
        </row>
        <row r="7">
          <cell r="BH7">
            <v>5.2418523990857118</v>
          </cell>
        </row>
        <row r="9">
          <cell r="BH9">
            <v>3.2155749287999988</v>
          </cell>
        </row>
        <row r="11">
          <cell r="BH11">
            <v>3.6929572011428573</v>
          </cell>
        </row>
        <row r="13">
          <cell r="BH13">
            <v>2.234624490057143</v>
          </cell>
        </row>
        <row r="15">
          <cell r="BH15">
            <v>1.5286191328571421</v>
          </cell>
        </row>
        <row r="19">
          <cell r="BH19">
            <v>2.2255948000000001</v>
          </cell>
        </row>
        <row r="21">
          <cell r="BH21">
            <v>1.8952188617142869</v>
          </cell>
        </row>
        <row r="25">
          <cell r="BH25">
            <v>0.93514088571428622</v>
          </cell>
        </row>
        <row r="29">
          <cell r="BH29">
            <v>4.1146198971428616</v>
          </cell>
        </row>
        <row r="31">
          <cell r="BH31">
            <v>2.1515065817142864</v>
          </cell>
        </row>
      </sheetData>
      <sheetData sheetId="2" refreshError="1">
        <row r="16">
          <cell r="K16">
            <v>0</v>
          </cell>
        </row>
        <row r="20">
          <cell r="K20">
            <v>0</v>
          </cell>
        </row>
        <row r="22">
          <cell r="K2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SLL"/>
      <sheetName val="RAS2.PIC"/>
    </sheetNames>
    <sheetDataSet>
      <sheetData sheetId="0">
        <row r="8">
          <cell r="A8" t="str">
            <v>AUG</v>
          </cell>
          <cell r="B8" t="str">
            <v>SEP</v>
          </cell>
          <cell r="C8" t="str">
            <v>OCT</v>
          </cell>
          <cell r="D8" t="str">
            <v>NOV</v>
          </cell>
          <cell r="E8" t="str">
            <v>DEC 97</v>
          </cell>
          <cell r="F8" t="str">
            <v>JAN98</v>
          </cell>
          <cell r="G8" t="str">
            <v>FEB</v>
          </cell>
          <cell r="H8" t="str">
            <v>MAR</v>
          </cell>
        </row>
        <row r="9">
          <cell r="A9">
            <v>0.28999999999999998</v>
          </cell>
          <cell r="B9">
            <v>0.45</v>
          </cell>
          <cell r="C9">
            <v>0.31</v>
          </cell>
          <cell r="D9">
            <v>0.56999999999999995</v>
          </cell>
          <cell r="E9">
            <v>0.4</v>
          </cell>
          <cell r="F9">
            <v>0.55000000000000004</v>
          </cell>
          <cell r="G9">
            <v>0.82</v>
          </cell>
          <cell r="H9">
            <v>0.77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IRZEN"/>
      <sheetName val="E6"/>
      <sheetName val="Z9"/>
      <sheetName val="C2"/>
      <sheetName val="Z6"/>
      <sheetName val="E5"/>
      <sheetName val="Z5"/>
      <sheetName val="E7"/>
      <sheetName val="Z3"/>
      <sheetName val="Current"/>
      <sheetName val="RR SOX"/>
      <sheetName val="Sheet1"/>
      <sheetName val="FUEL GAUGE-Z"/>
      <sheetName val="SPEED CABLE-C"/>
      <sheetName val="FUEL PUMP-EZ"/>
    </sheetNames>
    <sheetDataSet>
      <sheetData sheetId="0">
        <row r="9">
          <cell r="A9" t="str">
            <v>AUG</v>
          </cell>
          <cell r="B9" t="str">
            <v>SEP</v>
          </cell>
          <cell r="C9" t="str">
            <v>OCT</v>
          </cell>
          <cell r="D9" t="str">
            <v>NOV</v>
          </cell>
          <cell r="E9" t="str">
            <v>DEC</v>
          </cell>
          <cell r="F9" t="str">
            <v>JAN</v>
          </cell>
          <cell r="G9" t="str">
            <v>FEB</v>
          </cell>
          <cell r="H9" t="str">
            <v>MAR</v>
          </cell>
          <cell r="I9" t="str">
            <v>APR</v>
          </cell>
        </row>
        <row r="10">
          <cell r="A10">
            <v>0.91</v>
          </cell>
          <cell r="B10">
            <v>0.74</v>
          </cell>
          <cell r="C10">
            <v>0.84</v>
          </cell>
          <cell r="D10">
            <v>0.7</v>
          </cell>
          <cell r="E10">
            <v>0.88</v>
          </cell>
          <cell r="F10">
            <v>0.6</v>
          </cell>
          <cell r="G10">
            <v>0.68</v>
          </cell>
          <cell r="H10">
            <v>0.77</v>
          </cell>
          <cell r="I10">
            <v>0.47</v>
          </cell>
        </row>
        <row r="112">
          <cell r="A112" t="str">
            <v>AUG</v>
          </cell>
          <cell r="B112" t="str">
            <v>SEP</v>
          </cell>
          <cell r="C112" t="str">
            <v>OCT</v>
          </cell>
          <cell r="D112" t="str">
            <v>NOV</v>
          </cell>
          <cell r="E112" t="str">
            <v>DEC</v>
          </cell>
          <cell r="F112" t="str">
            <v>JAN</v>
          </cell>
          <cell r="G112" t="str">
            <v>FEB</v>
          </cell>
          <cell r="H112" t="str">
            <v>MAR</v>
          </cell>
          <cell r="I112" t="str">
            <v>APR</v>
          </cell>
        </row>
        <row r="113">
          <cell r="A113">
            <v>2.3199999999999998</v>
          </cell>
          <cell r="B113">
            <v>2.58</v>
          </cell>
          <cell r="C113">
            <v>2.2400000000000002</v>
          </cell>
          <cell r="D113">
            <v>2.0699999999999998</v>
          </cell>
          <cell r="E113">
            <v>1.93</v>
          </cell>
          <cell r="F113">
            <v>2.95</v>
          </cell>
          <cell r="G113">
            <v>2.0499999999999998</v>
          </cell>
          <cell r="H113">
            <v>1.77</v>
          </cell>
          <cell r="I113">
            <v>1.32</v>
          </cell>
        </row>
        <row r="145">
          <cell r="A145" t="str">
            <v>AUG</v>
          </cell>
          <cell r="B145" t="str">
            <v>SEP</v>
          </cell>
          <cell r="C145" t="str">
            <v>OCT</v>
          </cell>
          <cell r="D145" t="str">
            <v>NOV</v>
          </cell>
          <cell r="E145" t="str">
            <v>DEC</v>
          </cell>
          <cell r="F145" t="str">
            <v>JAN</v>
          </cell>
          <cell r="G145" t="str">
            <v>FEB</v>
          </cell>
          <cell r="H145" t="str">
            <v>MAR</v>
          </cell>
        </row>
        <row r="146">
          <cell r="A146">
            <v>10</v>
          </cell>
          <cell r="B146">
            <v>18</v>
          </cell>
          <cell r="C146">
            <v>17</v>
          </cell>
          <cell r="D146">
            <v>11</v>
          </cell>
          <cell r="E146">
            <v>20</v>
          </cell>
          <cell r="F146">
            <v>13</v>
          </cell>
          <cell r="G146">
            <v>24</v>
          </cell>
          <cell r="H146">
            <v>29</v>
          </cell>
        </row>
        <row r="147">
          <cell r="A147">
            <v>12</v>
          </cell>
          <cell r="B147">
            <v>12</v>
          </cell>
          <cell r="C147">
            <v>13</v>
          </cell>
          <cell r="D147">
            <v>28</v>
          </cell>
          <cell r="E147">
            <v>19</v>
          </cell>
          <cell r="F147">
            <v>16</v>
          </cell>
          <cell r="G147">
            <v>28</v>
          </cell>
          <cell r="H147">
            <v>13</v>
          </cell>
        </row>
        <row r="186">
          <cell r="A186" t="str">
            <v>MAY</v>
          </cell>
          <cell r="B186" t="str">
            <v>JUN</v>
          </cell>
          <cell r="C186" t="str">
            <v>JUL</v>
          </cell>
          <cell r="D186" t="str">
            <v>AUG</v>
          </cell>
          <cell r="E186" t="str">
            <v>SEP</v>
          </cell>
          <cell r="F186" t="str">
            <v>OCT</v>
          </cell>
          <cell r="G186" t="str">
            <v>NOV</v>
          </cell>
          <cell r="H186" t="str">
            <v>DEC</v>
          </cell>
          <cell r="I186" t="str">
            <v>JAN</v>
          </cell>
        </row>
        <row r="187">
          <cell r="A187">
            <v>47</v>
          </cell>
          <cell r="B187">
            <v>42</v>
          </cell>
          <cell r="C187">
            <v>63</v>
          </cell>
          <cell r="D187">
            <v>57</v>
          </cell>
          <cell r="E187">
            <v>84</v>
          </cell>
          <cell r="F187">
            <v>66</v>
          </cell>
          <cell r="G187">
            <v>71</v>
          </cell>
          <cell r="H187">
            <v>85</v>
          </cell>
          <cell r="I187">
            <v>134</v>
          </cell>
        </row>
        <row r="222">
          <cell r="A222" t="str">
            <v>SEP</v>
          </cell>
          <cell r="B222" t="str">
            <v>OCT</v>
          </cell>
          <cell r="C222" t="str">
            <v>NOV</v>
          </cell>
          <cell r="D222" t="str">
            <v>DEC</v>
          </cell>
          <cell r="E222" t="str">
            <v>JAN</v>
          </cell>
          <cell r="F222" t="str">
            <v>FEB</v>
          </cell>
          <cell r="G222" t="str">
            <v>MAR</v>
          </cell>
          <cell r="H222" t="str">
            <v>APR</v>
          </cell>
        </row>
        <row r="223">
          <cell r="A223">
            <v>1.64</v>
          </cell>
          <cell r="B223">
            <v>0.97</v>
          </cell>
          <cell r="C223">
            <v>1.1499999999999999</v>
          </cell>
          <cell r="D223">
            <v>0.47</v>
          </cell>
          <cell r="E223">
            <v>0.4</v>
          </cell>
          <cell r="F223">
            <v>0.53</v>
          </cell>
          <cell r="G223">
            <v>0.2</v>
          </cell>
          <cell r="H223">
            <v>0.3</v>
          </cell>
        </row>
        <row r="264">
          <cell r="A264" t="str">
            <v>SEP</v>
          </cell>
          <cell r="B264" t="str">
            <v>OCT</v>
          </cell>
          <cell r="C264" t="str">
            <v>NOV</v>
          </cell>
          <cell r="D264" t="str">
            <v>DEC</v>
          </cell>
          <cell r="E264" t="str">
            <v>JAN</v>
          </cell>
          <cell r="F264" t="str">
            <v>FEB</v>
          </cell>
          <cell r="G264" t="str">
            <v>MAR</v>
          </cell>
          <cell r="H264" t="str">
            <v>APR</v>
          </cell>
        </row>
        <row r="265">
          <cell r="A265">
            <v>0.4</v>
          </cell>
          <cell r="B265">
            <v>0.63</v>
          </cell>
          <cell r="C265">
            <v>0.53</v>
          </cell>
          <cell r="D265">
            <v>0.48</v>
          </cell>
          <cell r="E265">
            <v>0.56999999999999995</v>
          </cell>
          <cell r="F265">
            <v>0.23</v>
          </cell>
          <cell r="G265">
            <v>0.17</v>
          </cell>
          <cell r="H265">
            <v>0.12</v>
          </cell>
        </row>
        <row r="296">
          <cell r="A296" t="str">
            <v>SEP</v>
          </cell>
          <cell r="B296" t="str">
            <v>OCT</v>
          </cell>
          <cell r="C296" t="str">
            <v>NOV</v>
          </cell>
          <cell r="D296" t="str">
            <v>DEC</v>
          </cell>
          <cell r="E296" t="str">
            <v>JAN</v>
          </cell>
          <cell r="F296" t="str">
            <v>FEB</v>
          </cell>
          <cell r="G296" t="str">
            <v>MAR</v>
          </cell>
          <cell r="H296" t="str">
            <v>APR</v>
          </cell>
        </row>
        <row r="297">
          <cell r="A297">
            <v>1.96</v>
          </cell>
          <cell r="B297">
            <v>1.74</v>
          </cell>
          <cell r="C297">
            <v>2.17</v>
          </cell>
          <cell r="D297">
            <v>2.4</v>
          </cell>
          <cell r="E297">
            <v>2.48</v>
          </cell>
          <cell r="F297">
            <v>2.7</v>
          </cell>
          <cell r="G297">
            <v>1.84</v>
          </cell>
          <cell r="H297">
            <v>0.92</v>
          </cell>
        </row>
        <row r="325">
          <cell r="A325" t="str">
            <v>AUG</v>
          </cell>
          <cell r="B325" t="str">
            <v>SEP</v>
          </cell>
          <cell r="C325" t="str">
            <v>OCT</v>
          </cell>
          <cell r="D325" t="str">
            <v>NOV</v>
          </cell>
          <cell r="E325" t="str">
            <v>DEC</v>
          </cell>
          <cell r="F325" t="str">
            <v>JAN</v>
          </cell>
          <cell r="G325" t="str">
            <v>FEB</v>
          </cell>
          <cell r="H325" t="str">
            <v>MAR</v>
          </cell>
          <cell r="I325" t="str">
            <v>APR</v>
          </cell>
        </row>
        <row r="326">
          <cell r="A326">
            <v>1.8</v>
          </cell>
          <cell r="B326">
            <v>1.33</v>
          </cell>
          <cell r="C326">
            <v>1.62</v>
          </cell>
          <cell r="D326">
            <v>0.66</v>
          </cell>
          <cell r="E326">
            <v>0.97</v>
          </cell>
          <cell r="F326">
            <v>0.9</v>
          </cell>
          <cell r="G326">
            <v>0.56999999999999995</v>
          </cell>
          <cell r="H326">
            <v>0.88</v>
          </cell>
          <cell r="I326" t="str">
            <v/>
          </cell>
        </row>
        <row r="360">
          <cell r="A360" t="str">
            <v>AUG</v>
          </cell>
          <cell r="B360" t="str">
            <v>SEP</v>
          </cell>
          <cell r="C360" t="str">
            <v>OCT</v>
          </cell>
          <cell r="D360" t="str">
            <v>NOV</v>
          </cell>
          <cell r="E360" t="str">
            <v>DEC</v>
          </cell>
          <cell r="F360" t="str">
            <v>JAN</v>
          </cell>
          <cell r="G360" t="str">
            <v>FEB</v>
          </cell>
          <cell r="H360" t="str">
            <v>MAR</v>
          </cell>
          <cell r="I360" t="str">
            <v>APR</v>
          </cell>
        </row>
        <row r="361">
          <cell r="A361">
            <v>0.63</v>
          </cell>
          <cell r="B361">
            <v>0.63</v>
          </cell>
          <cell r="C361">
            <v>0.42</v>
          </cell>
          <cell r="D361">
            <v>0.3</v>
          </cell>
          <cell r="E361">
            <v>0.24</v>
          </cell>
          <cell r="F361">
            <v>0.24</v>
          </cell>
          <cell r="G361">
            <v>0.25</v>
          </cell>
          <cell r="H361">
            <v>0.38</v>
          </cell>
          <cell r="I361">
            <v>0.11</v>
          </cell>
        </row>
        <row r="392">
          <cell r="A392" t="str">
            <v>AUG</v>
          </cell>
          <cell r="B392" t="str">
            <v>SEP</v>
          </cell>
          <cell r="C392" t="str">
            <v>OCT</v>
          </cell>
          <cell r="D392" t="str">
            <v>NOV</v>
          </cell>
          <cell r="E392" t="str">
            <v>DEC</v>
          </cell>
          <cell r="F392" t="str">
            <v>JAN</v>
          </cell>
          <cell r="G392" t="str">
            <v>FEB</v>
          </cell>
          <cell r="H392" t="str">
            <v>MAR</v>
          </cell>
          <cell r="I392" t="str">
            <v>APR</v>
          </cell>
        </row>
        <row r="393">
          <cell r="A393">
            <v>0.4</v>
          </cell>
          <cell r="B393">
            <v>0.69</v>
          </cell>
          <cell r="C393">
            <v>0.84</v>
          </cell>
          <cell r="D393">
            <v>1.0900000000000001</v>
          </cell>
          <cell r="E393">
            <v>0.96</v>
          </cell>
          <cell r="F393">
            <v>0.64</v>
          </cell>
          <cell r="G393">
            <v>0.47</v>
          </cell>
          <cell r="H393">
            <v>0.31</v>
          </cell>
          <cell r="I393">
            <v>0.26</v>
          </cell>
        </row>
        <row r="437">
          <cell r="A437" t="str">
            <v>APR</v>
          </cell>
          <cell r="B437" t="str">
            <v>MAY</v>
          </cell>
          <cell r="C437" t="str">
            <v>JUN</v>
          </cell>
          <cell r="D437" t="str">
            <v>JUL</v>
          </cell>
          <cell r="E437" t="str">
            <v>AUG</v>
          </cell>
          <cell r="F437" t="str">
            <v>SEP</v>
          </cell>
          <cell r="G437" t="str">
            <v>OCT</v>
          </cell>
          <cell r="H437" t="str">
            <v>NOV</v>
          </cell>
        </row>
        <row r="438">
          <cell r="A438">
            <v>0.32002438281011886</v>
          </cell>
          <cell r="B438">
            <v>0.38485221674876846</v>
          </cell>
          <cell r="C438">
            <v>0.42857142857142855</v>
          </cell>
          <cell r="D438">
            <v>0.49636002647253474</v>
          </cell>
          <cell r="E438">
            <v>0.59607293127629735</v>
          </cell>
          <cell r="F438">
            <v>0.46468401486988847</v>
          </cell>
          <cell r="G438">
            <v>0.52529182879377434</v>
          </cell>
          <cell r="H438">
            <v>0.33918595371109339</v>
          </cell>
        </row>
        <row r="474">
          <cell r="A474" t="str">
            <v>MAY</v>
          </cell>
          <cell r="B474" t="str">
            <v>JUN</v>
          </cell>
          <cell r="C474" t="str">
            <v>JUL</v>
          </cell>
          <cell r="D474" t="str">
            <v>AUG</v>
          </cell>
          <cell r="E474" t="str">
            <v>SEP</v>
          </cell>
          <cell r="F474" t="str">
            <v>OCT</v>
          </cell>
          <cell r="G474" t="str">
            <v>NOV</v>
          </cell>
          <cell r="H474" t="str">
            <v>DEC</v>
          </cell>
          <cell r="I474" t="str">
            <v>JAN'97</v>
          </cell>
        </row>
        <row r="475">
          <cell r="A475">
            <v>14</v>
          </cell>
          <cell r="B475">
            <v>14</v>
          </cell>
          <cell r="C475">
            <v>15</v>
          </cell>
          <cell r="D475">
            <v>17</v>
          </cell>
          <cell r="E475">
            <v>31</v>
          </cell>
          <cell r="F475">
            <v>51</v>
          </cell>
          <cell r="G475">
            <v>35</v>
          </cell>
          <cell r="H475">
            <v>51</v>
          </cell>
          <cell r="I475">
            <v>29</v>
          </cell>
        </row>
        <row r="506">
          <cell r="A506" t="str">
            <v>JUL</v>
          </cell>
          <cell r="B506" t="str">
            <v>AUG</v>
          </cell>
          <cell r="C506" t="str">
            <v>SEP</v>
          </cell>
          <cell r="D506" t="str">
            <v>OCT</v>
          </cell>
          <cell r="E506" t="str">
            <v>NOV</v>
          </cell>
          <cell r="F506" t="str">
            <v>DEC</v>
          </cell>
          <cell r="G506" t="str">
            <v>JAN'97</v>
          </cell>
          <cell r="H506" t="str">
            <v>FEB</v>
          </cell>
          <cell r="I506" t="str">
            <v>MAR</v>
          </cell>
        </row>
        <row r="507">
          <cell r="A507">
            <v>5</v>
          </cell>
          <cell r="B507">
            <v>7</v>
          </cell>
          <cell r="C507">
            <v>20</v>
          </cell>
          <cell r="D507">
            <v>17</v>
          </cell>
          <cell r="E507">
            <v>14</v>
          </cell>
          <cell r="F507">
            <v>12</v>
          </cell>
          <cell r="G507">
            <v>8</v>
          </cell>
          <cell r="H507">
            <v>10</v>
          </cell>
          <cell r="I507" t="str">
            <v/>
          </cell>
        </row>
        <row r="508">
          <cell r="A508">
            <v>19</v>
          </cell>
          <cell r="B508">
            <v>17</v>
          </cell>
          <cell r="C508">
            <v>16</v>
          </cell>
          <cell r="D508">
            <v>17</v>
          </cell>
          <cell r="E508">
            <v>13</v>
          </cell>
          <cell r="F508">
            <v>16</v>
          </cell>
          <cell r="G508">
            <v>15</v>
          </cell>
          <cell r="H508">
            <v>14</v>
          </cell>
          <cell r="I508" t="str">
            <v/>
          </cell>
        </row>
        <row r="536">
          <cell r="A536" t="str">
            <v>JUN</v>
          </cell>
          <cell r="B536" t="str">
            <v>JUL</v>
          </cell>
          <cell r="C536" t="str">
            <v>AUG</v>
          </cell>
          <cell r="D536" t="str">
            <v>SEP</v>
          </cell>
          <cell r="E536" t="str">
            <v>OCT</v>
          </cell>
          <cell r="F536" t="str">
            <v>NOV</v>
          </cell>
          <cell r="G536" t="str">
            <v>DEC</v>
          </cell>
          <cell r="H536" t="str">
            <v>JAN'97</v>
          </cell>
          <cell r="I536" t="str">
            <v>FEB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3</v>
          </cell>
          <cell r="F537">
            <v>0</v>
          </cell>
          <cell r="G537">
            <v>3</v>
          </cell>
          <cell r="H537">
            <v>10</v>
          </cell>
          <cell r="I537">
            <v>11</v>
          </cell>
        </row>
        <row r="565">
          <cell r="A565" t="str">
            <v>JUL</v>
          </cell>
          <cell r="B565" t="str">
            <v>AUG</v>
          </cell>
          <cell r="C565" t="str">
            <v>SEP</v>
          </cell>
          <cell r="D565" t="str">
            <v>OCT</v>
          </cell>
          <cell r="E565" t="str">
            <v>NOV</v>
          </cell>
          <cell r="F565" t="str">
            <v>DEC</v>
          </cell>
          <cell r="G565" t="str">
            <v>JAN'97</v>
          </cell>
          <cell r="H565" t="str">
            <v>FEB</v>
          </cell>
          <cell r="I565" t="str">
            <v>MAR</v>
          </cell>
        </row>
        <row r="566">
          <cell r="A566">
            <v>18</v>
          </cell>
          <cell r="B566">
            <v>23</v>
          </cell>
          <cell r="C566">
            <v>28</v>
          </cell>
          <cell r="D566">
            <v>9</v>
          </cell>
          <cell r="E566">
            <v>9</v>
          </cell>
          <cell r="F566">
            <v>15</v>
          </cell>
          <cell r="G566">
            <v>10</v>
          </cell>
          <cell r="H566">
            <v>6</v>
          </cell>
          <cell r="I566">
            <v>17</v>
          </cell>
        </row>
        <row r="567">
          <cell r="A567">
            <v>9</v>
          </cell>
          <cell r="B567">
            <v>0</v>
          </cell>
          <cell r="C567">
            <v>2</v>
          </cell>
          <cell r="D567">
            <v>2</v>
          </cell>
          <cell r="E567">
            <v>3</v>
          </cell>
          <cell r="F567">
            <v>7</v>
          </cell>
          <cell r="G567">
            <v>3</v>
          </cell>
          <cell r="H567">
            <v>6</v>
          </cell>
          <cell r="I567">
            <v>6</v>
          </cell>
        </row>
        <row r="597">
          <cell r="A597" t="str">
            <v>OCT</v>
          </cell>
          <cell r="B597" t="str">
            <v>NOV</v>
          </cell>
          <cell r="C597" t="str">
            <v>DEC</v>
          </cell>
          <cell r="D597" t="str">
            <v>JAN'97</v>
          </cell>
          <cell r="E597" t="str">
            <v>FEB</v>
          </cell>
          <cell r="F597" t="str">
            <v>MAR</v>
          </cell>
        </row>
        <row r="598">
          <cell r="A598">
            <v>0.86</v>
          </cell>
          <cell r="B598">
            <v>0.93</v>
          </cell>
          <cell r="C598">
            <v>1.1100000000000001</v>
          </cell>
          <cell r="D598">
            <v>1.22</v>
          </cell>
          <cell r="E598">
            <v>1.41</v>
          </cell>
          <cell r="F598">
            <v>1.64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IRCAR"/>
      <sheetName val="ZC1(F)"/>
      <sheetName val="ZC1(S)"/>
      <sheetName val="C1(G)"/>
      <sheetName val="C1(H)"/>
      <sheetName val="C3"/>
      <sheetName val="E6(A)"/>
      <sheetName val="Current"/>
      <sheetName val="BRG(FAG)-ZC"/>
      <sheetName val="BRG(SKF)-ZC"/>
      <sheetName val="STRUT-C(G)"/>
      <sheetName val="HORN-C"/>
      <sheetName val="Sheet1"/>
      <sheetName val="GLASSRUN-O"/>
      <sheetName val="BK DR LOCK-O"/>
    </sheetNames>
    <sheetDataSet>
      <sheetData sheetId="0">
        <row r="10">
          <cell r="A10" t="str">
            <v>SEP</v>
          </cell>
          <cell r="B10" t="str">
            <v>OCT</v>
          </cell>
          <cell r="C10" t="str">
            <v>NOV</v>
          </cell>
          <cell r="D10" t="str">
            <v>DEC</v>
          </cell>
          <cell r="E10" t="str">
            <v>JAN</v>
          </cell>
          <cell r="F10" t="str">
            <v>FEB</v>
          </cell>
          <cell r="G10" t="str">
            <v>MAR</v>
          </cell>
          <cell r="H10" t="str">
            <v>APR</v>
          </cell>
        </row>
        <row r="11">
          <cell r="A11">
            <v>2.0099999999999998</v>
          </cell>
          <cell r="B11">
            <v>1.61</v>
          </cell>
          <cell r="C11">
            <v>1.55</v>
          </cell>
          <cell r="D11">
            <v>1.08</v>
          </cell>
          <cell r="E11">
            <v>1.44</v>
          </cell>
          <cell r="F11">
            <v>0.95</v>
          </cell>
          <cell r="G11">
            <v>1.46</v>
          </cell>
          <cell r="H11">
            <v>1.48</v>
          </cell>
        </row>
        <row r="41">
          <cell r="A41">
            <v>0.53</v>
          </cell>
          <cell r="B41">
            <v>0.55000000000000004</v>
          </cell>
          <cell r="C41">
            <v>0.68</v>
          </cell>
          <cell r="D41">
            <v>0.69</v>
          </cell>
          <cell r="E41">
            <v>0.74</v>
          </cell>
          <cell r="F41">
            <v>0.63</v>
          </cell>
          <cell r="G41">
            <v>0.64</v>
          </cell>
          <cell r="H41">
            <v>0.37</v>
          </cell>
        </row>
        <row r="146">
          <cell r="A146" t="str">
            <v>SEP</v>
          </cell>
          <cell r="B146" t="str">
            <v>OCT</v>
          </cell>
          <cell r="C146" t="str">
            <v>NOV</v>
          </cell>
          <cell r="D146" t="str">
            <v>DEC</v>
          </cell>
          <cell r="E146" t="str">
            <v>JAN</v>
          </cell>
          <cell r="F146" t="str">
            <v>FEB</v>
          </cell>
          <cell r="G146" t="str">
            <v>MAR</v>
          </cell>
          <cell r="H146" t="str">
            <v>APR</v>
          </cell>
        </row>
        <row r="147">
          <cell r="A147">
            <v>1.42</v>
          </cell>
          <cell r="B147">
            <v>1.34</v>
          </cell>
          <cell r="C147">
            <v>1.68</v>
          </cell>
          <cell r="D147">
            <v>1.57</v>
          </cell>
          <cell r="E147">
            <v>1.38</v>
          </cell>
          <cell r="F147">
            <v>1.46</v>
          </cell>
          <cell r="G147">
            <v>1.67</v>
          </cell>
          <cell r="H147">
            <v>1.45</v>
          </cell>
        </row>
        <row r="184">
          <cell r="A184" t="str">
            <v>SEP</v>
          </cell>
          <cell r="B184" t="str">
            <v>OCT</v>
          </cell>
          <cell r="C184" t="str">
            <v>NOV</v>
          </cell>
          <cell r="D184" t="str">
            <v>DEC</v>
          </cell>
          <cell r="E184" t="str">
            <v>JAN</v>
          </cell>
          <cell r="F184" t="str">
            <v>FEB</v>
          </cell>
          <cell r="G184" t="str">
            <v>MAR</v>
          </cell>
          <cell r="H184" t="str">
            <v>APR</v>
          </cell>
        </row>
        <row r="185">
          <cell r="A185">
            <v>3.85</v>
          </cell>
          <cell r="B185">
            <v>3.87</v>
          </cell>
          <cell r="C185">
            <v>3.36</v>
          </cell>
          <cell r="D185">
            <v>1.68</v>
          </cell>
          <cell r="E185">
            <v>2.4</v>
          </cell>
          <cell r="F185">
            <v>1.05</v>
          </cell>
          <cell r="G185">
            <v>0.28999999999999998</v>
          </cell>
          <cell r="H185">
            <v>0.12</v>
          </cell>
        </row>
        <row r="218">
          <cell r="F218" t="str">
            <v>APR</v>
          </cell>
          <cell r="G218" t="str">
            <v>MAY</v>
          </cell>
          <cell r="H218" t="str">
            <v>JUN</v>
          </cell>
        </row>
        <row r="219">
          <cell r="F219">
            <v>11.06</v>
          </cell>
          <cell r="G219">
            <v>8.74</v>
          </cell>
          <cell r="H219">
            <v>8.52</v>
          </cell>
        </row>
        <row r="253">
          <cell r="A253" t="str">
            <v>AUG</v>
          </cell>
          <cell r="B253" t="str">
            <v>SEP</v>
          </cell>
          <cell r="C253" t="str">
            <v>OCT</v>
          </cell>
          <cell r="D253" t="str">
            <v>NOV</v>
          </cell>
          <cell r="E253" t="str">
            <v>DEC</v>
          </cell>
          <cell r="F253" t="str">
            <v>JAN</v>
          </cell>
          <cell r="G253" t="str">
            <v>FEB</v>
          </cell>
          <cell r="H253" t="str">
            <v>MAR</v>
          </cell>
          <cell r="I253" t="str">
            <v>APR</v>
          </cell>
        </row>
        <row r="254">
          <cell r="A254">
            <v>1.5</v>
          </cell>
          <cell r="B254">
            <v>1.51</v>
          </cell>
          <cell r="C254">
            <v>1.43</v>
          </cell>
          <cell r="D254">
            <v>1.82</v>
          </cell>
          <cell r="E254">
            <v>1.66</v>
          </cell>
          <cell r="F254">
            <v>1.81</v>
          </cell>
          <cell r="G254">
            <v>1.4</v>
          </cell>
          <cell r="H254">
            <v>1.35</v>
          </cell>
          <cell r="I254">
            <v>1.35</v>
          </cell>
        </row>
        <row r="292">
          <cell r="A292" t="str">
            <v>AUG</v>
          </cell>
          <cell r="B292" t="str">
            <v>SEP</v>
          </cell>
          <cell r="C292" t="str">
            <v>OCT</v>
          </cell>
          <cell r="D292" t="str">
            <v>NOV</v>
          </cell>
          <cell r="E292" t="str">
            <v>DEC</v>
          </cell>
          <cell r="F292" t="str">
            <v>JAN</v>
          </cell>
          <cell r="G292" t="str">
            <v>FEB</v>
          </cell>
          <cell r="H292" t="str">
            <v>MAR</v>
          </cell>
          <cell r="I292" t="str">
            <v>APR</v>
          </cell>
        </row>
        <row r="293">
          <cell r="A293">
            <v>2.2999999999999998</v>
          </cell>
          <cell r="B293">
            <v>2.25</v>
          </cell>
          <cell r="C293">
            <v>2.59</v>
          </cell>
          <cell r="D293">
            <v>2.19</v>
          </cell>
          <cell r="E293">
            <v>2.23</v>
          </cell>
          <cell r="F293">
            <v>2.57</v>
          </cell>
          <cell r="G293">
            <v>2.35</v>
          </cell>
          <cell r="H293">
            <v>2.17</v>
          </cell>
          <cell r="I293">
            <v>1.9</v>
          </cell>
        </row>
        <row r="329">
          <cell r="A329" t="str">
            <v>MAY</v>
          </cell>
          <cell r="B329" t="str">
            <v>JUN</v>
          </cell>
          <cell r="C329" t="str">
            <v>JUL</v>
          </cell>
          <cell r="D329" t="str">
            <v>AUG</v>
          </cell>
          <cell r="E329" t="str">
            <v>SEP</v>
          </cell>
          <cell r="F329" t="str">
            <v>OCT</v>
          </cell>
          <cell r="G329" t="str">
            <v>NOV</v>
          </cell>
          <cell r="H329" t="str">
            <v>DEC</v>
          </cell>
        </row>
        <row r="330">
          <cell r="A330">
            <v>3.05</v>
          </cell>
          <cell r="B330">
            <v>2.27</v>
          </cell>
          <cell r="C330">
            <v>2.06</v>
          </cell>
          <cell r="D330">
            <v>1.85</v>
          </cell>
          <cell r="E330">
            <v>1.86</v>
          </cell>
          <cell r="F330">
            <v>1.31</v>
          </cell>
          <cell r="G330">
            <v>0.73</v>
          </cell>
          <cell r="H330">
            <v>0.57999999999999996</v>
          </cell>
        </row>
        <row r="366">
          <cell r="A366" t="str">
            <v>AUG</v>
          </cell>
          <cell r="B366" t="str">
            <v>SEP</v>
          </cell>
          <cell r="C366" t="str">
            <v>OCT</v>
          </cell>
          <cell r="D366" t="str">
            <v>NOV</v>
          </cell>
          <cell r="E366" t="str">
            <v>DEC</v>
          </cell>
          <cell r="F366" t="str">
            <v>JAN</v>
          </cell>
          <cell r="G366" t="str">
            <v>FEB</v>
          </cell>
          <cell r="H366" t="str">
            <v>MAR</v>
          </cell>
          <cell r="I366" t="str">
            <v>APR</v>
          </cell>
        </row>
        <row r="367">
          <cell r="A367">
            <v>2.11</v>
          </cell>
          <cell r="B367">
            <v>1.98</v>
          </cell>
          <cell r="C367">
            <v>2.08</v>
          </cell>
          <cell r="D367">
            <v>1.77</v>
          </cell>
          <cell r="E367">
            <v>1.48</v>
          </cell>
          <cell r="F367">
            <v>1.7</v>
          </cell>
          <cell r="G367">
            <v>1.25</v>
          </cell>
          <cell r="H367">
            <v>1.4</v>
          </cell>
          <cell r="I367">
            <v>0.68</v>
          </cell>
        </row>
        <row r="404">
          <cell r="A404" t="str">
            <v>MAY</v>
          </cell>
          <cell r="B404" t="str">
            <v>JUN</v>
          </cell>
          <cell r="C404" t="str">
            <v>JUL</v>
          </cell>
          <cell r="D404" t="str">
            <v>AUG</v>
          </cell>
          <cell r="E404" t="str">
            <v>SEP</v>
          </cell>
          <cell r="F404" t="str">
            <v>OCT</v>
          </cell>
          <cell r="G404" t="str">
            <v>NOV</v>
          </cell>
          <cell r="H404" t="str">
            <v>DEC</v>
          </cell>
          <cell r="I404" t="str">
            <v>JAN</v>
          </cell>
        </row>
        <row r="405">
          <cell r="A405">
            <v>7.13</v>
          </cell>
          <cell r="B405">
            <v>5.36</v>
          </cell>
          <cell r="C405">
            <v>4.09</v>
          </cell>
          <cell r="D405">
            <v>4.8600000000000003</v>
          </cell>
          <cell r="E405">
            <v>6.71</v>
          </cell>
          <cell r="F405">
            <v>3.71</v>
          </cell>
          <cell r="G405">
            <v>5.97</v>
          </cell>
          <cell r="H405">
            <v>2.67</v>
          </cell>
          <cell r="I405">
            <v>3.45</v>
          </cell>
        </row>
        <row r="443">
          <cell r="A443" t="str">
            <v>SEP</v>
          </cell>
          <cell r="B443" t="str">
            <v>OCT</v>
          </cell>
          <cell r="C443" t="str">
            <v>NOV</v>
          </cell>
          <cell r="D443" t="str">
            <v>DEC</v>
          </cell>
          <cell r="E443" t="str">
            <v>JAN</v>
          </cell>
          <cell r="F443" t="str">
            <v>FEB</v>
          </cell>
          <cell r="G443" t="str">
            <v>MAR</v>
          </cell>
          <cell r="H443" t="str">
            <v>APR</v>
          </cell>
        </row>
        <row r="444">
          <cell r="A444">
            <v>1.2</v>
          </cell>
          <cell r="B444">
            <v>1.1499999999999999</v>
          </cell>
          <cell r="C444">
            <v>1.26</v>
          </cell>
          <cell r="D444">
            <v>1.27</v>
          </cell>
          <cell r="E444">
            <v>0.93</v>
          </cell>
          <cell r="F444">
            <v>1.1000000000000001</v>
          </cell>
          <cell r="G444">
            <v>1.18</v>
          </cell>
          <cell r="H444">
            <v>0.37</v>
          </cell>
        </row>
        <row r="486">
          <cell r="A486" t="str">
            <v>SEP</v>
          </cell>
          <cell r="B486" t="str">
            <v>OCT</v>
          </cell>
          <cell r="C486" t="str">
            <v>NOV</v>
          </cell>
          <cell r="D486" t="str">
            <v>DEC</v>
          </cell>
          <cell r="E486" t="str">
            <v>JAN</v>
          </cell>
          <cell r="F486" t="str">
            <v>FEB</v>
          </cell>
          <cell r="G486" t="str">
            <v>MAR</v>
          </cell>
          <cell r="H486" t="str">
            <v>APR</v>
          </cell>
        </row>
        <row r="487">
          <cell r="A487">
            <v>2.81</v>
          </cell>
          <cell r="B487">
            <v>3.01</v>
          </cell>
          <cell r="C487">
            <v>3.39</v>
          </cell>
          <cell r="D487">
            <v>2.72</v>
          </cell>
          <cell r="E487">
            <v>2.2999999999999998</v>
          </cell>
          <cell r="F487">
            <v>3</v>
          </cell>
          <cell r="G487">
            <v>3.26</v>
          </cell>
          <cell r="H487">
            <v>1.28</v>
          </cell>
        </row>
        <row r="527">
          <cell r="A527" t="str">
            <v>SEP</v>
          </cell>
          <cell r="B527" t="str">
            <v>OCT</v>
          </cell>
          <cell r="C527" t="str">
            <v>NOV</v>
          </cell>
          <cell r="D527" t="str">
            <v>DEC</v>
          </cell>
          <cell r="E527" t="str">
            <v>JAN</v>
          </cell>
          <cell r="F527" t="str">
            <v>FEB</v>
          </cell>
          <cell r="G527" t="str">
            <v>MAR</v>
          </cell>
          <cell r="H527" t="str">
            <v>APR</v>
          </cell>
        </row>
        <row r="528">
          <cell r="A528">
            <v>2.2200000000000002</v>
          </cell>
          <cell r="B528">
            <v>1.08</v>
          </cell>
          <cell r="C528">
            <v>0.82</v>
          </cell>
          <cell r="D528">
            <v>0.69</v>
          </cell>
          <cell r="E528">
            <v>1.03</v>
          </cell>
          <cell r="F528">
            <v>1.2</v>
          </cell>
          <cell r="G528">
            <v>1.4</v>
          </cell>
          <cell r="H528">
            <v>1</v>
          </cell>
        </row>
        <row r="570">
          <cell r="A570" t="str">
            <v>AUG</v>
          </cell>
          <cell r="B570" t="str">
            <v>SEP</v>
          </cell>
          <cell r="C570" t="str">
            <v>OCT</v>
          </cell>
          <cell r="D570" t="str">
            <v>NOV</v>
          </cell>
          <cell r="E570" t="str">
            <v>DEC</v>
          </cell>
          <cell r="F570" t="str">
            <v>JAN</v>
          </cell>
          <cell r="G570" t="str">
            <v>FEB</v>
          </cell>
          <cell r="H570" t="str">
            <v>MAR</v>
          </cell>
          <cell r="I570" t="str">
            <v>APR</v>
          </cell>
        </row>
        <row r="571">
          <cell r="A571">
            <v>0.74</v>
          </cell>
          <cell r="B571">
            <v>0.52</v>
          </cell>
          <cell r="C571">
            <v>0.35</v>
          </cell>
          <cell r="D571">
            <v>0.28000000000000003</v>
          </cell>
          <cell r="E571">
            <v>0.33</v>
          </cell>
          <cell r="F571">
            <v>0.31</v>
          </cell>
          <cell r="G571">
            <v>0.28999999999999998</v>
          </cell>
          <cell r="H571">
            <v>0.32</v>
          </cell>
          <cell r="I571">
            <v>0.26</v>
          </cell>
        </row>
        <row r="572">
          <cell r="A572">
            <v>0.53</v>
          </cell>
          <cell r="B572">
            <v>0.61</v>
          </cell>
          <cell r="C572">
            <v>0.47</v>
          </cell>
          <cell r="D572">
            <v>0.44</v>
          </cell>
          <cell r="E572">
            <v>0.4</v>
          </cell>
          <cell r="F572">
            <v>0.46</v>
          </cell>
          <cell r="G572">
            <v>0.36</v>
          </cell>
          <cell r="H572">
            <v>0.38</v>
          </cell>
          <cell r="I572">
            <v>0.32</v>
          </cell>
        </row>
        <row r="607">
          <cell r="A607" t="str">
            <v>AUG</v>
          </cell>
          <cell r="B607" t="str">
            <v>SEP</v>
          </cell>
          <cell r="C607" t="str">
            <v>OCT</v>
          </cell>
          <cell r="D607" t="str">
            <v>NOV</v>
          </cell>
          <cell r="E607" t="str">
            <v>DEC</v>
          </cell>
          <cell r="F607" t="str">
            <v>JAN</v>
          </cell>
          <cell r="G607" t="str">
            <v>FEB</v>
          </cell>
          <cell r="H607" t="str">
            <v>MAR</v>
          </cell>
          <cell r="I607" t="str">
            <v>APR</v>
          </cell>
        </row>
        <row r="608">
          <cell r="A608">
            <v>1.06</v>
          </cell>
          <cell r="B608">
            <v>1.24</v>
          </cell>
          <cell r="C608">
            <v>1.37</v>
          </cell>
          <cell r="D608">
            <v>0.8</v>
          </cell>
          <cell r="E608">
            <v>1.37</v>
          </cell>
          <cell r="F608">
            <v>1.34</v>
          </cell>
          <cell r="G608">
            <v>1.25</v>
          </cell>
          <cell r="H608">
            <v>1.52</v>
          </cell>
          <cell r="I608">
            <v>0.96</v>
          </cell>
        </row>
        <row r="650">
          <cell r="A650" t="str">
            <v>SEP</v>
          </cell>
          <cell r="B650" t="str">
            <v>OCT</v>
          </cell>
          <cell r="C650" t="str">
            <v>NOV</v>
          </cell>
          <cell r="D650" t="str">
            <v>DEC</v>
          </cell>
          <cell r="E650" t="str">
            <v>JAN</v>
          </cell>
          <cell r="F650" t="str">
            <v>FEB</v>
          </cell>
          <cell r="G650" t="str">
            <v>MAR</v>
          </cell>
          <cell r="H650" t="str">
            <v>APR</v>
          </cell>
        </row>
        <row r="651">
          <cell r="A651">
            <v>0.42</v>
          </cell>
          <cell r="B651">
            <v>0.55000000000000004</v>
          </cell>
          <cell r="C651">
            <v>0.56999999999999995</v>
          </cell>
          <cell r="D651">
            <v>0.45</v>
          </cell>
          <cell r="E651">
            <v>0.8</v>
          </cell>
          <cell r="F651">
            <v>0.8</v>
          </cell>
          <cell r="G651">
            <v>1.35</v>
          </cell>
          <cell r="H651">
            <v>1.05</v>
          </cell>
        </row>
        <row r="703">
          <cell r="A703" t="str">
            <v>SEP</v>
          </cell>
          <cell r="B703" t="str">
            <v>OCT</v>
          </cell>
          <cell r="C703" t="str">
            <v>NOV</v>
          </cell>
          <cell r="D703" t="str">
            <v>DEC</v>
          </cell>
          <cell r="E703" t="str">
            <v>JAN</v>
          </cell>
          <cell r="F703" t="str">
            <v>FEB</v>
          </cell>
          <cell r="G703" t="str">
            <v>MAR</v>
          </cell>
          <cell r="H703" t="str">
            <v>APR</v>
          </cell>
        </row>
        <row r="704">
          <cell r="A704">
            <v>0.96</v>
          </cell>
          <cell r="B704">
            <v>1.02</v>
          </cell>
          <cell r="C704">
            <v>0.75</v>
          </cell>
          <cell r="D704">
            <v>0.77</v>
          </cell>
          <cell r="E704">
            <v>0.79</v>
          </cell>
          <cell r="F704">
            <v>0.56999999999999995</v>
          </cell>
          <cell r="G704" t="str">
            <v>COUNTERMEASURE DESCRIPTION</v>
          </cell>
          <cell r="H704">
            <v>0.59</v>
          </cell>
        </row>
        <row r="745">
          <cell r="A745">
            <v>0.67</v>
          </cell>
          <cell r="B745">
            <v>1.02</v>
          </cell>
          <cell r="C745">
            <v>0.81</v>
          </cell>
          <cell r="D745">
            <v>0.42</v>
          </cell>
          <cell r="E745">
            <v>0.69</v>
          </cell>
          <cell r="F745">
            <v>0.79</v>
          </cell>
          <cell r="G745" t="str">
            <v>COUNTERMEASURE DESCRIPTION</v>
          </cell>
          <cell r="H745">
            <v>0.28999999999999998</v>
          </cell>
        </row>
        <row r="782">
          <cell r="A782" t="str">
            <v>JUL</v>
          </cell>
          <cell r="B782" t="str">
            <v>AUG</v>
          </cell>
          <cell r="C782" t="str">
            <v>SEP</v>
          </cell>
          <cell r="D782" t="str">
            <v>OCT</v>
          </cell>
          <cell r="E782" t="str">
            <v>NOV</v>
          </cell>
          <cell r="F782" t="str">
            <v>DEC</v>
          </cell>
          <cell r="G782" t="str">
            <v>JAN</v>
          </cell>
          <cell r="H782" t="str">
            <v>FEB</v>
          </cell>
        </row>
        <row r="783">
          <cell r="A783">
            <v>2.2599999999999998</v>
          </cell>
          <cell r="B783">
            <v>1.98</v>
          </cell>
          <cell r="C783">
            <v>1.63</v>
          </cell>
          <cell r="D783">
            <v>1.93</v>
          </cell>
          <cell r="E783">
            <v>1.82</v>
          </cell>
          <cell r="F783">
            <v>2.48</v>
          </cell>
          <cell r="G783" t="str">
            <v>COUNTERMEASURE DESCRIPTION</v>
          </cell>
          <cell r="H783">
            <v>2.61</v>
          </cell>
        </row>
        <row r="828">
          <cell r="A828" t="str">
            <v>SEP</v>
          </cell>
          <cell r="B828" t="str">
            <v>OCT</v>
          </cell>
          <cell r="C828" t="str">
            <v>NOV</v>
          </cell>
          <cell r="D828" t="str">
            <v>DEC</v>
          </cell>
          <cell r="E828" t="str">
            <v>JAN</v>
          </cell>
          <cell r="F828" t="str">
            <v>FEB</v>
          </cell>
          <cell r="G828" t="str">
            <v>MAR</v>
          </cell>
          <cell r="H828" t="str">
            <v>APR</v>
          </cell>
        </row>
        <row r="829">
          <cell r="A829">
            <v>0.85</v>
          </cell>
          <cell r="B829">
            <v>0.88</v>
          </cell>
          <cell r="C829">
            <v>0.82</v>
          </cell>
          <cell r="D829">
            <v>0.7</v>
          </cell>
          <cell r="E829">
            <v>0.85</v>
          </cell>
          <cell r="F829">
            <v>0.77</v>
          </cell>
          <cell r="G829" t="str">
            <v>COUNTERMEASURE DESCRIPTION</v>
          </cell>
          <cell r="H829">
            <v>0.28999999999999998</v>
          </cell>
        </row>
        <row r="858">
          <cell r="A858" t="str">
            <v>SEP</v>
          </cell>
          <cell r="B858" t="str">
            <v>OCT</v>
          </cell>
          <cell r="C858" t="str">
            <v>NOV</v>
          </cell>
          <cell r="D858" t="str">
            <v>DEC</v>
          </cell>
          <cell r="E858" t="str">
            <v>JAN</v>
          </cell>
          <cell r="F858" t="str">
            <v>FEB</v>
          </cell>
          <cell r="G858" t="str">
            <v>MAR</v>
          </cell>
          <cell r="H858" t="str">
            <v>APR</v>
          </cell>
        </row>
        <row r="859">
          <cell r="A859">
            <v>0.28999999999999998</v>
          </cell>
          <cell r="B859">
            <v>0.35</v>
          </cell>
          <cell r="C859">
            <v>0.57999999999999996</v>
          </cell>
          <cell r="D859">
            <v>0.45</v>
          </cell>
          <cell r="E859">
            <v>0.47</v>
          </cell>
          <cell r="F859">
            <v>0.31</v>
          </cell>
          <cell r="G859" t="str">
            <v>COUNTERMEASURE DESCRIPTION</v>
          </cell>
          <cell r="H859">
            <v>0.38</v>
          </cell>
        </row>
        <row r="893">
          <cell r="A893" t="str">
            <v>OCT</v>
          </cell>
          <cell r="B893" t="str">
            <v>NOV</v>
          </cell>
          <cell r="C893" t="str">
            <v>DEC</v>
          </cell>
          <cell r="D893" t="str">
            <v>JAN</v>
          </cell>
          <cell r="E893" t="str">
            <v>FEB</v>
          </cell>
          <cell r="F893" t="str">
            <v>MAR</v>
          </cell>
        </row>
        <row r="894">
          <cell r="A894">
            <v>5.71</v>
          </cell>
          <cell r="B894">
            <v>6.2</v>
          </cell>
          <cell r="C894">
            <v>3.42</v>
          </cell>
          <cell r="D894">
            <v>2.27</v>
          </cell>
          <cell r="E894">
            <v>1.62</v>
          </cell>
          <cell r="F894">
            <v>2.59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JBML"/>
      <sheetName val="RAS2.PIC"/>
    </sheetNames>
    <sheetDataSet>
      <sheetData sheetId="0">
        <row r="10">
          <cell r="B10">
            <v>0.6</v>
          </cell>
          <cell r="C10">
            <v>0.88</v>
          </cell>
          <cell r="D10">
            <v>0.51</v>
          </cell>
          <cell r="E10">
            <v>1.95</v>
          </cell>
          <cell r="F10">
            <v>2.91</v>
          </cell>
          <cell r="G10">
            <v>2.78</v>
          </cell>
          <cell r="H10">
            <v>3.26</v>
          </cell>
          <cell r="I10">
            <v>2.81</v>
          </cell>
          <cell r="J10">
            <v>2.7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ESLL"/>
      <sheetName val="RAS2.PIC"/>
    </sheetNames>
    <sheetDataSet>
      <sheetData sheetId="0">
        <row r="8">
          <cell r="A8" t="str">
            <v>AUG 97</v>
          </cell>
          <cell r="B8" t="str">
            <v>SEP 97</v>
          </cell>
          <cell r="C8" t="str">
            <v>OCT 97</v>
          </cell>
          <cell r="D8" t="str">
            <v>NOV 97</v>
          </cell>
          <cell r="E8" t="str">
            <v>DEC 97</v>
          </cell>
          <cell r="F8" t="str">
            <v>JAN98</v>
          </cell>
          <cell r="G8" t="str">
            <v>FEB 98</v>
          </cell>
          <cell r="H8" t="str">
            <v>MAR 98</v>
          </cell>
          <cell r="I8" t="str">
            <v>APR 98</v>
          </cell>
        </row>
        <row r="9">
          <cell r="A9">
            <v>0.28999999999999998</v>
          </cell>
          <cell r="B9">
            <v>0.45</v>
          </cell>
          <cell r="C9">
            <v>0.31</v>
          </cell>
          <cell r="D9">
            <v>0.56999999999999995</v>
          </cell>
          <cell r="E9">
            <v>0.4</v>
          </cell>
          <cell r="F9">
            <v>0.55000000000000004</v>
          </cell>
          <cell r="G9">
            <v>0.82</v>
          </cell>
          <cell r="H9">
            <v>0.77</v>
          </cell>
          <cell r="I9">
            <v>0.67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st five yrs (without tools)"/>
      <sheetName val="PBT_160"/>
      <sheetName val="Index"/>
      <sheetName val="Trend"/>
      <sheetName val="last five yrs"/>
      <sheetName val="Assumption (Board)"/>
      <sheetName val="Assumption"/>
      <sheetName val="Annex A"/>
      <sheetName val="Annex B"/>
      <sheetName val="Annex C"/>
      <sheetName val="Annex D"/>
      <sheetName val="Quick estimate"/>
      <sheetName val="PL"/>
      <sheetName val="DATA"/>
      <sheetName val="CASHFLOW"/>
      <sheetName val="Fund Flow"/>
      <sheetName val="Advt &amp; Sales Pro"/>
      <sheetName val="Tooling Cost"/>
      <sheetName val="Annex C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VM(f)"/>
      <sheetName val="Three years"/>
      <sheetName val="JULY Royalty separate"/>
      <sheetName val="Budget 05-06(Base Cost)"/>
      <sheetName val="Summary"/>
      <sheetName val="November"/>
      <sheetName val="cost sheet"/>
      <sheetName val="MONTH WISE COST SHEET"/>
      <sheetName val="ANALYSIS"/>
      <sheetName val="Management index"/>
      <sheetName val="Index Comparison"/>
      <sheetName val="Cost Sheet_nov 05 "/>
      <sheetName val="Cost Sheet_oct 05 "/>
      <sheetName val="Sep 05 Cost Sheet "/>
      <sheetName val="Aug 05 Cost Sheet"/>
      <sheetName val="Revised model mapping"/>
      <sheetName val="Swift cos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zoomScale="80" zoomScaleNormal="80" workbookViewId="0">
      <selection activeCell="L9" sqref="L9"/>
    </sheetView>
  </sheetViews>
  <sheetFormatPr defaultRowHeight="15"/>
  <cols>
    <col min="1" max="1" width="13" style="54" customWidth="1"/>
    <col min="2" max="2" width="33" style="54" customWidth="1"/>
    <col min="3" max="3" width="22.42578125" style="54" hidden="1" customWidth="1"/>
    <col min="4" max="4" width="53.140625" style="54" hidden="1" customWidth="1"/>
    <col min="5" max="5" width="15.42578125" style="54" customWidth="1"/>
    <col min="6" max="6" width="51.7109375" style="54" customWidth="1"/>
    <col min="7" max="16384" width="9.140625" style="54"/>
  </cols>
  <sheetData>
    <row r="1" spans="1:6" ht="27" thickBot="1">
      <c r="A1" s="745" t="s">
        <v>50</v>
      </c>
      <c r="B1" s="746"/>
      <c r="C1" s="746"/>
      <c r="D1" s="746"/>
      <c r="E1" s="746"/>
      <c r="F1" s="747"/>
    </row>
    <row r="2" spans="1:6" ht="21.75" thickBot="1">
      <c r="A2" s="743" t="s">
        <v>14</v>
      </c>
      <c r="B2" s="743" t="s">
        <v>49</v>
      </c>
      <c r="C2" s="741" t="s">
        <v>48</v>
      </c>
      <c r="D2" s="742"/>
      <c r="E2" s="741" t="s">
        <v>51</v>
      </c>
      <c r="F2" s="742"/>
    </row>
    <row r="3" spans="1:6" ht="21.75" thickBot="1">
      <c r="A3" s="744"/>
      <c r="B3" s="744"/>
      <c r="C3" s="57" t="s">
        <v>46</v>
      </c>
      <c r="D3" s="58" t="s">
        <v>47</v>
      </c>
      <c r="E3" s="57" t="s">
        <v>46</v>
      </c>
      <c r="F3" s="58" t="s">
        <v>47</v>
      </c>
    </row>
    <row r="4" spans="1:6" ht="31.5" customHeight="1">
      <c r="A4" s="327">
        <v>1.1000000000000001</v>
      </c>
      <c r="B4" s="328" t="s">
        <v>75</v>
      </c>
      <c r="C4" s="329" t="s">
        <v>77</v>
      </c>
      <c r="D4" s="330" t="s">
        <v>82</v>
      </c>
      <c r="E4" s="331" t="s">
        <v>52</v>
      </c>
      <c r="F4" s="332" t="s">
        <v>274</v>
      </c>
    </row>
    <row r="5" spans="1:6" ht="28.5" customHeight="1">
      <c r="A5" s="325">
        <v>1.2</v>
      </c>
      <c r="B5" s="333" t="s">
        <v>76</v>
      </c>
      <c r="C5" s="334" t="s">
        <v>78</v>
      </c>
      <c r="D5" s="153" t="s">
        <v>79</v>
      </c>
      <c r="E5" s="247" t="s">
        <v>52</v>
      </c>
      <c r="F5" s="55" t="s">
        <v>275</v>
      </c>
    </row>
    <row r="6" spans="1:6" ht="29.25" customHeight="1">
      <c r="A6" s="325">
        <v>2</v>
      </c>
      <c r="B6" s="333" t="s">
        <v>25</v>
      </c>
      <c r="C6" s="335" t="s">
        <v>59</v>
      </c>
      <c r="D6" s="153" t="s">
        <v>60</v>
      </c>
      <c r="E6" s="247" t="s">
        <v>59</v>
      </c>
      <c r="F6" s="55" t="s">
        <v>367</v>
      </c>
    </row>
    <row r="7" spans="1:6" ht="31.5" customHeight="1">
      <c r="A7" s="325">
        <v>3</v>
      </c>
      <c r="B7" s="336" t="s">
        <v>28</v>
      </c>
      <c r="C7" s="335" t="s">
        <v>61</v>
      </c>
      <c r="D7" s="335" t="s">
        <v>62</v>
      </c>
      <c r="E7" s="247"/>
      <c r="F7" s="55"/>
    </row>
    <row r="8" spans="1:6" ht="36" customHeight="1">
      <c r="A8" s="325">
        <v>4</v>
      </c>
      <c r="B8" s="333" t="s">
        <v>30</v>
      </c>
      <c r="C8" s="335" t="s">
        <v>63</v>
      </c>
      <c r="D8" s="153" t="s">
        <v>64</v>
      </c>
      <c r="E8" s="247" t="s">
        <v>373</v>
      </c>
      <c r="F8" s="324" t="s">
        <v>368</v>
      </c>
    </row>
    <row r="9" spans="1:6" ht="41.25" customHeight="1">
      <c r="A9" s="325">
        <v>5</v>
      </c>
      <c r="B9" s="333" t="s">
        <v>32</v>
      </c>
      <c r="C9" s="335" t="s">
        <v>65</v>
      </c>
      <c r="D9" s="334" t="s">
        <v>80</v>
      </c>
      <c r="E9" s="247" t="s">
        <v>374</v>
      </c>
      <c r="F9" s="55" t="s">
        <v>369</v>
      </c>
    </row>
    <row r="10" spans="1:6" ht="34.5" customHeight="1">
      <c r="A10" s="325">
        <v>6</v>
      </c>
      <c r="B10" s="333" t="s">
        <v>66</v>
      </c>
      <c r="C10" s="335" t="s">
        <v>67</v>
      </c>
      <c r="D10" s="152" t="s">
        <v>377</v>
      </c>
      <c r="E10" s="152" t="s">
        <v>377</v>
      </c>
      <c r="F10" s="337" t="s">
        <v>377</v>
      </c>
    </row>
    <row r="11" spans="1:6" ht="42" customHeight="1">
      <c r="A11" s="325">
        <v>7</v>
      </c>
      <c r="B11" s="338" t="s">
        <v>35</v>
      </c>
      <c r="C11" s="335" t="s">
        <v>70</v>
      </c>
      <c r="D11" s="335" t="s">
        <v>71</v>
      </c>
      <c r="E11" s="247" t="s">
        <v>70</v>
      </c>
      <c r="F11" s="55" t="s">
        <v>71</v>
      </c>
    </row>
    <row r="12" spans="1:6" ht="44.25" customHeight="1">
      <c r="A12" s="325">
        <v>8</v>
      </c>
      <c r="B12" s="336" t="s">
        <v>68</v>
      </c>
      <c r="C12" s="335" t="s">
        <v>61</v>
      </c>
      <c r="D12" s="339" t="s">
        <v>69</v>
      </c>
      <c r="E12" s="247"/>
      <c r="F12" s="55" t="s">
        <v>370</v>
      </c>
    </row>
    <row r="13" spans="1:6" ht="39.75" customHeight="1">
      <c r="A13" s="325">
        <v>9</v>
      </c>
      <c r="B13" s="338" t="s">
        <v>72</v>
      </c>
      <c r="C13" s="335"/>
      <c r="D13" s="335"/>
      <c r="E13" s="247" t="s">
        <v>375</v>
      </c>
      <c r="F13" s="324" t="s">
        <v>371</v>
      </c>
    </row>
    <row r="14" spans="1:6" ht="45.75" customHeight="1" thickBot="1">
      <c r="A14" s="326">
        <v>10</v>
      </c>
      <c r="B14" s="340" t="s">
        <v>73</v>
      </c>
      <c r="C14" s="341" t="s">
        <v>74</v>
      </c>
      <c r="D14" s="342" t="s">
        <v>81</v>
      </c>
      <c r="E14" s="343" t="s">
        <v>376</v>
      </c>
      <c r="F14" s="56" t="s">
        <v>372</v>
      </c>
    </row>
  </sheetData>
  <mergeCells count="5">
    <mergeCell ref="C2:D2"/>
    <mergeCell ref="E2:F2"/>
    <mergeCell ref="A2:A3"/>
    <mergeCell ref="B2:B3"/>
    <mergeCell ref="A1:F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F104"/>
  <sheetViews>
    <sheetView showWhiteSpace="0" zoomScale="70" zoomScaleNormal="70" workbookViewId="0">
      <pane xSplit="10" ySplit="4" topLeftCell="T68" activePane="bottomRight" state="frozen"/>
      <selection pane="topRight" activeCell="K1" sqref="K1"/>
      <selection pane="bottomLeft" activeCell="A5" sqref="A5"/>
      <selection pane="bottomRight" activeCell="X71" sqref="X71"/>
    </sheetView>
  </sheetViews>
  <sheetFormatPr defaultRowHeight="15"/>
  <cols>
    <col min="1" max="1" width="18.42578125" customWidth="1"/>
    <col min="2" max="2" width="9.5703125" customWidth="1"/>
    <col min="3" max="3" width="24.7109375" customWidth="1"/>
    <col min="4" max="4" width="11.140625" customWidth="1"/>
    <col min="5" max="5" width="19" customWidth="1"/>
    <col min="7" max="7" width="10" bestFit="1" customWidth="1"/>
    <col min="8" max="8" width="10.5703125" bestFit="1" customWidth="1"/>
    <col min="9" max="9" width="15.42578125" customWidth="1"/>
    <col min="10" max="10" width="9.42578125" customWidth="1"/>
    <col min="11" max="11" width="8" customWidth="1"/>
    <col min="12" max="23" width="7.7109375" customWidth="1"/>
    <col min="24" max="24" width="10.140625" customWidth="1"/>
    <col min="26" max="26" width="10" bestFit="1" customWidth="1"/>
  </cols>
  <sheetData>
    <row r="1" spans="1:32" ht="37.5" customHeight="1" thickBot="1">
      <c r="A1" s="1094" t="s">
        <v>421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5"/>
      <c r="M1" s="1095"/>
      <c r="N1" s="1095"/>
      <c r="O1" s="1095"/>
      <c r="P1" s="1095"/>
      <c r="Q1" s="1095"/>
      <c r="R1" s="1095"/>
      <c r="S1" s="1095"/>
      <c r="T1" s="1095"/>
      <c r="U1" s="1095"/>
      <c r="V1" s="1095"/>
      <c r="W1" s="1095"/>
      <c r="X1" s="1122"/>
    </row>
    <row r="2" spans="1:32" ht="15.75" customHeight="1">
      <c r="A2" s="1123" t="s">
        <v>343</v>
      </c>
      <c r="B2" s="1124"/>
      <c r="C2" s="1124"/>
      <c r="D2" s="1124"/>
      <c r="E2" s="1124"/>
      <c r="F2" s="1125"/>
      <c r="G2" s="1126" t="s">
        <v>344</v>
      </c>
      <c r="H2" s="1126"/>
      <c r="I2" s="1126"/>
      <c r="J2" s="1126"/>
      <c r="K2" s="1126"/>
      <c r="L2" s="1126"/>
      <c r="M2" s="1126"/>
      <c r="N2" s="1126"/>
      <c r="O2" s="1126"/>
      <c r="P2" s="1126"/>
      <c r="Q2" s="1126"/>
      <c r="R2" s="1126"/>
      <c r="S2" s="1126"/>
      <c r="T2" s="1126"/>
      <c r="U2" s="1126"/>
      <c r="V2" s="1126"/>
      <c r="W2" s="1126"/>
      <c r="X2" s="1127" t="s">
        <v>135</v>
      </c>
      <c r="Y2" s="275"/>
      <c r="Z2" s="275"/>
      <c r="AA2" s="275"/>
      <c r="AB2" s="275"/>
      <c r="AC2" s="275"/>
      <c r="AD2" s="275"/>
      <c r="AE2" s="275"/>
      <c r="AF2" s="275"/>
    </row>
    <row r="3" spans="1:32" ht="23.25" customHeight="1">
      <c r="A3" s="1129" t="s">
        <v>303</v>
      </c>
      <c r="B3" s="1131" t="s">
        <v>304</v>
      </c>
      <c r="C3" s="1132" t="s">
        <v>305</v>
      </c>
      <c r="D3" s="1118" t="s">
        <v>308</v>
      </c>
      <c r="E3" s="1131" t="s">
        <v>345</v>
      </c>
      <c r="F3" s="1131" t="s">
        <v>346</v>
      </c>
      <c r="G3" s="1131"/>
      <c r="H3" s="1131"/>
      <c r="I3" s="1118" t="s">
        <v>347</v>
      </c>
      <c r="J3" s="1118" t="s">
        <v>348</v>
      </c>
      <c r="K3" s="277" t="s">
        <v>349</v>
      </c>
      <c r="L3" s="276" t="s">
        <v>426</v>
      </c>
      <c r="M3" s="276" t="s">
        <v>350</v>
      </c>
      <c r="N3" s="276" t="s">
        <v>351</v>
      </c>
      <c r="O3" s="276" t="s">
        <v>352</v>
      </c>
      <c r="P3" s="276" t="s">
        <v>353</v>
      </c>
      <c r="Q3" s="276" t="s">
        <v>354</v>
      </c>
      <c r="R3" s="276" t="s">
        <v>355</v>
      </c>
      <c r="S3" s="276" t="s">
        <v>356</v>
      </c>
      <c r="T3" s="276" t="s">
        <v>357</v>
      </c>
      <c r="U3" s="276" t="s">
        <v>358</v>
      </c>
      <c r="V3" s="276" t="s">
        <v>359</v>
      </c>
      <c r="W3" s="276" t="s">
        <v>360</v>
      </c>
      <c r="X3" s="1128"/>
      <c r="Y3" s="275"/>
      <c r="Z3" s="275"/>
      <c r="AA3" s="275"/>
      <c r="AB3" s="275"/>
      <c r="AC3" s="275"/>
      <c r="AD3" s="275"/>
      <c r="AE3" s="275"/>
      <c r="AF3" s="275"/>
    </row>
    <row r="4" spans="1:32" ht="23.25" customHeight="1" thickBot="1">
      <c r="A4" s="1130"/>
      <c r="B4" s="1131"/>
      <c r="C4" s="1133"/>
      <c r="D4" s="1119"/>
      <c r="E4" s="1131"/>
      <c r="F4" s="1131"/>
      <c r="G4" s="1131"/>
      <c r="H4" s="1131"/>
      <c r="I4" s="1119"/>
      <c r="J4" s="1119"/>
      <c r="K4" s="277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9"/>
      <c r="Y4" s="275"/>
      <c r="Z4" s="275"/>
      <c r="AA4" s="275"/>
      <c r="AB4" s="275"/>
      <c r="AC4" s="275"/>
      <c r="AD4" s="275"/>
      <c r="AE4" s="275"/>
      <c r="AF4" s="275"/>
    </row>
    <row r="5" spans="1:32" ht="24.95" customHeight="1" thickTop="1">
      <c r="A5" s="1120" t="s">
        <v>383</v>
      </c>
      <c r="B5" s="1117">
        <v>1</v>
      </c>
      <c r="C5" s="1098" t="s">
        <v>253</v>
      </c>
      <c r="D5" s="1082" t="s">
        <v>334</v>
      </c>
      <c r="E5" s="437">
        <f>180000/100000</f>
        <v>1.8</v>
      </c>
      <c r="F5" s="1061"/>
      <c r="G5" s="1061"/>
      <c r="H5" s="1061"/>
      <c r="I5" s="1053">
        <v>40914</v>
      </c>
      <c r="J5" s="282">
        <f>X5</f>
        <v>1.4999999999999998</v>
      </c>
      <c r="K5" s="283" t="s">
        <v>361</v>
      </c>
      <c r="L5" s="284">
        <v>0</v>
      </c>
      <c r="M5" s="284">
        <v>0</v>
      </c>
      <c r="N5" s="284">
        <f>E5/12</f>
        <v>0.15</v>
      </c>
      <c r="O5" s="284">
        <f>N5</f>
        <v>0.15</v>
      </c>
      <c r="P5" s="284">
        <f t="shared" ref="P5:W5" si="0">O5</f>
        <v>0.15</v>
      </c>
      <c r="Q5" s="284">
        <f t="shared" si="0"/>
        <v>0.15</v>
      </c>
      <c r="R5" s="284">
        <f t="shared" si="0"/>
        <v>0.15</v>
      </c>
      <c r="S5" s="284">
        <f t="shared" si="0"/>
        <v>0.15</v>
      </c>
      <c r="T5" s="284">
        <f t="shared" si="0"/>
        <v>0.15</v>
      </c>
      <c r="U5" s="284">
        <f t="shared" si="0"/>
        <v>0.15</v>
      </c>
      <c r="V5" s="284">
        <f t="shared" si="0"/>
        <v>0.15</v>
      </c>
      <c r="W5" s="284">
        <f t="shared" si="0"/>
        <v>0.15</v>
      </c>
      <c r="X5" s="356">
        <f>SUM(N5:W5)</f>
        <v>1.4999999999999998</v>
      </c>
      <c r="Y5" s="275"/>
      <c r="Z5" s="275"/>
      <c r="AA5" s="1067"/>
      <c r="AB5" s="1067"/>
      <c r="AC5" s="275"/>
      <c r="AD5" s="275"/>
      <c r="AE5" s="275"/>
      <c r="AF5" s="275"/>
    </row>
    <row r="6" spans="1:32" ht="24.95" customHeight="1">
      <c r="A6" s="1121"/>
      <c r="B6" s="1117"/>
      <c r="C6" s="1084"/>
      <c r="D6" s="1082"/>
      <c r="E6" s="285"/>
      <c r="F6" s="1061"/>
      <c r="G6" s="1061"/>
      <c r="H6" s="1061"/>
      <c r="I6" s="1062"/>
      <c r="J6" s="286"/>
      <c r="K6" s="280" t="s">
        <v>362</v>
      </c>
      <c r="L6" s="292"/>
      <c r="M6" s="292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344"/>
      <c r="Y6" s="288"/>
      <c r="Z6" s="275"/>
      <c r="AA6" s="1067"/>
      <c r="AB6" s="1067"/>
      <c r="AC6" s="275"/>
      <c r="AD6" s="275"/>
      <c r="AE6" s="275"/>
      <c r="AF6" s="275"/>
    </row>
    <row r="7" spans="1:32" ht="24.95" customHeight="1">
      <c r="A7" s="1121"/>
      <c r="B7" s="1117">
        <v>2</v>
      </c>
      <c r="C7" s="1098" t="s">
        <v>221</v>
      </c>
      <c r="D7" s="1082" t="s">
        <v>334</v>
      </c>
      <c r="E7" s="365">
        <f>725000/100000</f>
        <v>7.25</v>
      </c>
      <c r="F7" s="1061"/>
      <c r="G7" s="1061"/>
      <c r="H7" s="1061"/>
      <c r="I7" s="1053">
        <v>40912</v>
      </c>
      <c r="J7" s="282">
        <f>X7</f>
        <v>6.041666666666667</v>
      </c>
      <c r="K7" s="283" t="s">
        <v>361</v>
      </c>
      <c r="L7" s="284">
        <f>E7/12</f>
        <v>0.60416666666666663</v>
      </c>
      <c r="M7" s="284">
        <f>L7</f>
        <v>0.60416666666666663</v>
      </c>
      <c r="N7" s="284">
        <f t="shared" ref="N7:W7" si="1">M7</f>
        <v>0.60416666666666663</v>
      </c>
      <c r="O7" s="284">
        <f t="shared" si="1"/>
        <v>0.60416666666666663</v>
      </c>
      <c r="P7" s="284">
        <f t="shared" si="1"/>
        <v>0.60416666666666663</v>
      </c>
      <c r="Q7" s="284">
        <f t="shared" si="1"/>
        <v>0.60416666666666663</v>
      </c>
      <c r="R7" s="284">
        <f t="shared" si="1"/>
        <v>0.60416666666666663</v>
      </c>
      <c r="S7" s="284">
        <f t="shared" si="1"/>
        <v>0.60416666666666663</v>
      </c>
      <c r="T7" s="284">
        <f t="shared" si="1"/>
        <v>0.60416666666666663</v>
      </c>
      <c r="U7" s="284">
        <f t="shared" si="1"/>
        <v>0.60416666666666663</v>
      </c>
      <c r="V7" s="284">
        <f t="shared" si="1"/>
        <v>0.60416666666666663</v>
      </c>
      <c r="W7" s="284">
        <f t="shared" si="1"/>
        <v>0.60416666666666663</v>
      </c>
      <c r="X7" s="356">
        <f>SUM(N7:W7)</f>
        <v>6.041666666666667</v>
      </c>
      <c r="Y7" s="275"/>
      <c r="Z7" s="275"/>
      <c r="AA7" s="275"/>
      <c r="AB7" s="275"/>
      <c r="AC7" s="275"/>
      <c r="AD7" s="275"/>
      <c r="AE7" s="1067"/>
      <c r="AF7" s="1067"/>
    </row>
    <row r="8" spans="1:32" ht="24.95" customHeight="1">
      <c r="A8" s="1121"/>
      <c r="B8" s="1117"/>
      <c r="C8" s="1084"/>
      <c r="D8" s="1082"/>
      <c r="E8" s="285"/>
      <c r="F8" s="1061"/>
      <c r="G8" s="1061"/>
      <c r="H8" s="1061"/>
      <c r="I8" s="1062"/>
      <c r="J8" s="286"/>
      <c r="K8" s="280" t="s">
        <v>362</v>
      </c>
      <c r="L8" s="292"/>
      <c r="M8" s="292"/>
      <c r="N8" s="287"/>
      <c r="O8" s="287"/>
      <c r="P8" s="287"/>
      <c r="Q8" s="287"/>
      <c r="R8" s="287"/>
      <c r="S8" s="287"/>
      <c r="T8" s="287"/>
      <c r="U8" s="345"/>
      <c r="V8" s="345"/>
      <c r="W8" s="345"/>
      <c r="X8" s="344"/>
      <c r="Y8" s="275"/>
      <c r="Z8" s="275"/>
      <c r="AA8" s="275"/>
      <c r="AB8" s="1067"/>
      <c r="AC8" s="1067"/>
      <c r="AD8" s="275"/>
      <c r="AE8" s="1067"/>
      <c r="AF8" s="1067"/>
    </row>
    <row r="9" spans="1:32" ht="24.95" customHeight="1">
      <c r="A9" s="1121"/>
      <c r="B9" s="1115">
        <v>3</v>
      </c>
      <c r="C9" s="1083" t="s">
        <v>254</v>
      </c>
      <c r="D9" s="1082" t="s">
        <v>341</v>
      </c>
      <c r="E9" s="365">
        <f>1330330/100000</f>
        <v>13.3033</v>
      </c>
      <c r="F9" s="1061"/>
      <c r="G9" s="1061"/>
      <c r="H9" s="1061"/>
      <c r="I9" s="1053">
        <v>41217</v>
      </c>
      <c r="J9" s="282">
        <f>X9</f>
        <v>6.651650000000001</v>
      </c>
      <c r="K9" s="283" t="s">
        <v>361</v>
      </c>
      <c r="L9" s="284">
        <f>E9/12</f>
        <v>1.1086083333333334</v>
      </c>
      <c r="M9" s="284">
        <f>L9</f>
        <v>1.1086083333333334</v>
      </c>
      <c r="N9" s="284">
        <f t="shared" ref="N9:W9" si="2">M9</f>
        <v>1.1086083333333334</v>
      </c>
      <c r="O9" s="284">
        <f t="shared" si="2"/>
        <v>1.1086083333333334</v>
      </c>
      <c r="P9" s="284">
        <f t="shared" si="2"/>
        <v>1.1086083333333334</v>
      </c>
      <c r="Q9" s="284">
        <f t="shared" si="2"/>
        <v>1.1086083333333334</v>
      </c>
      <c r="R9" s="284">
        <f t="shared" si="2"/>
        <v>1.1086083333333334</v>
      </c>
      <c r="S9" s="284">
        <f t="shared" si="2"/>
        <v>1.1086083333333334</v>
      </c>
      <c r="T9" s="284">
        <f t="shared" si="2"/>
        <v>1.1086083333333334</v>
      </c>
      <c r="U9" s="284">
        <f t="shared" si="2"/>
        <v>1.1086083333333334</v>
      </c>
      <c r="V9" s="284">
        <f t="shared" si="2"/>
        <v>1.1086083333333334</v>
      </c>
      <c r="W9" s="284">
        <f t="shared" si="2"/>
        <v>1.1086083333333334</v>
      </c>
      <c r="X9" s="356">
        <f>SUM(R9:W9)</f>
        <v>6.651650000000001</v>
      </c>
      <c r="Y9" s="291"/>
      <c r="Z9" s="275"/>
      <c r="AA9" s="275"/>
      <c r="AB9" s="1067"/>
      <c r="AC9" s="1067"/>
      <c r="AD9" s="275"/>
      <c r="AE9" s="396"/>
      <c r="AF9" s="396"/>
    </row>
    <row r="10" spans="1:32" ht="24.95" customHeight="1">
      <c r="A10" s="1121"/>
      <c r="B10" s="1116"/>
      <c r="C10" s="1084"/>
      <c r="D10" s="1082"/>
      <c r="E10" s="285"/>
      <c r="F10" s="1061"/>
      <c r="G10" s="1061"/>
      <c r="H10" s="1061"/>
      <c r="I10" s="1062"/>
      <c r="J10" s="286"/>
      <c r="K10" s="280" t="s">
        <v>362</v>
      </c>
      <c r="L10" s="292"/>
      <c r="M10" s="292"/>
      <c r="N10" s="293"/>
      <c r="O10" s="293"/>
      <c r="P10" s="293"/>
      <c r="Q10" s="293"/>
      <c r="R10" s="438"/>
      <c r="S10" s="438"/>
      <c r="T10" s="438"/>
      <c r="U10" s="347"/>
      <c r="V10" s="347"/>
      <c r="W10" s="347"/>
      <c r="X10" s="344"/>
      <c r="Y10" s="275"/>
      <c r="Z10" s="275"/>
      <c r="AA10" s="275"/>
      <c r="AB10" s="1067"/>
      <c r="AC10" s="1067"/>
      <c r="AD10" s="275"/>
      <c r="AE10" s="396"/>
      <c r="AF10" s="396"/>
    </row>
    <row r="11" spans="1:32" ht="24.95" customHeight="1">
      <c r="A11" s="1121"/>
      <c r="B11" s="1117">
        <v>4</v>
      </c>
      <c r="C11" s="1077" t="s">
        <v>255</v>
      </c>
      <c r="D11" s="1082" t="s">
        <v>341</v>
      </c>
      <c r="E11" s="365">
        <f>7285150/100000</f>
        <v>72.851500000000001</v>
      </c>
      <c r="F11" s="1061"/>
      <c r="G11" s="1061"/>
      <c r="H11" s="1061"/>
      <c r="I11" s="1053">
        <v>41217</v>
      </c>
      <c r="J11" s="282">
        <f>X11</f>
        <v>36.425750000000001</v>
      </c>
      <c r="K11" s="283" t="s">
        <v>361</v>
      </c>
      <c r="L11" s="284">
        <f>E11/12</f>
        <v>6.0709583333333335</v>
      </c>
      <c r="M11" s="284">
        <f>L11</f>
        <v>6.0709583333333335</v>
      </c>
      <c r="N11" s="284">
        <f t="shared" ref="N11:W11" si="3">M11</f>
        <v>6.0709583333333335</v>
      </c>
      <c r="O11" s="284">
        <f t="shared" si="3"/>
        <v>6.0709583333333335</v>
      </c>
      <c r="P11" s="284">
        <f t="shared" si="3"/>
        <v>6.0709583333333335</v>
      </c>
      <c r="Q11" s="284">
        <f t="shared" si="3"/>
        <v>6.0709583333333335</v>
      </c>
      <c r="R11" s="284">
        <f t="shared" si="3"/>
        <v>6.0709583333333335</v>
      </c>
      <c r="S11" s="284">
        <f t="shared" si="3"/>
        <v>6.0709583333333335</v>
      </c>
      <c r="T11" s="284">
        <f t="shared" si="3"/>
        <v>6.0709583333333335</v>
      </c>
      <c r="U11" s="284">
        <f t="shared" si="3"/>
        <v>6.0709583333333335</v>
      </c>
      <c r="V11" s="284">
        <f t="shared" si="3"/>
        <v>6.0709583333333335</v>
      </c>
      <c r="W11" s="284">
        <f t="shared" si="3"/>
        <v>6.0709583333333335</v>
      </c>
      <c r="X11" s="356">
        <f>SUM(R11:W11)</f>
        <v>36.425750000000001</v>
      </c>
      <c r="Y11" s="275"/>
      <c r="Z11" s="275"/>
      <c r="AA11" s="275"/>
      <c r="AB11" s="1067"/>
      <c r="AC11" s="1067"/>
      <c r="AD11" s="275"/>
      <c r="AE11" s="275"/>
      <c r="AF11" s="275"/>
    </row>
    <row r="12" spans="1:32" ht="24.95" customHeight="1" thickBot="1">
      <c r="A12" s="1121"/>
      <c r="B12" s="1117"/>
      <c r="C12" s="1081"/>
      <c r="D12" s="1082"/>
      <c r="E12" s="294"/>
      <c r="F12" s="1061"/>
      <c r="G12" s="1061"/>
      <c r="H12" s="1061"/>
      <c r="I12" s="1062"/>
      <c r="J12" s="286"/>
      <c r="K12" s="295" t="s">
        <v>362</v>
      </c>
      <c r="L12" s="292"/>
      <c r="M12" s="292"/>
      <c r="N12" s="284"/>
      <c r="O12" s="284"/>
      <c r="P12" s="293"/>
      <c r="Q12" s="284"/>
      <c r="R12" s="293"/>
      <c r="S12" s="293"/>
      <c r="T12" s="293"/>
      <c r="U12" s="293"/>
      <c r="V12" s="293"/>
      <c r="W12" s="293"/>
      <c r="X12" s="344"/>
      <c r="Y12" s="275"/>
      <c r="Z12" s="275"/>
      <c r="AA12" s="296"/>
      <c r="AB12" s="275"/>
      <c r="AC12" s="275"/>
      <c r="AD12" s="275"/>
      <c r="AE12" s="275"/>
      <c r="AF12" s="275"/>
    </row>
    <row r="13" spans="1:32" ht="24.95" customHeight="1">
      <c r="A13" s="1121"/>
      <c r="B13" s="847">
        <v>5</v>
      </c>
      <c r="C13" s="1077" t="s">
        <v>256</v>
      </c>
      <c r="D13" s="1082" t="s">
        <v>341</v>
      </c>
      <c r="E13" s="365">
        <f>700000/100000</f>
        <v>7</v>
      </c>
      <c r="F13" s="836"/>
      <c r="G13" s="836"/>
      <c r="H13" s="836"/>
      <c r="I13" s="1053">
        <v>41003</v>
      </c>
      <c r="J13" s="298">
        <f>X13</f>
        <v>5.833333333333333</v>
      </c>
      <c r="K13" s="299" t="s">
        <v>361</v>
      </c>
      <c r="L13" s="284">
        <f>E13/12</f>
        <v>0.58333333333333337</v>
      </c>
      <c r="M13" s="284">
        <f>L13</f>
        <v>0.58333333333333337</v>
      </c>
      <c r="N13" s="284">
        <f t="shared" ref="N13:W13" si="4">M13</f>
        <v>0.58333333333333337</v>
      </c>
      <c r="O13" s="284">
        <f t="shared" si="4"/>
        <v>0.58333333333333337</v>
      </c>
      <c r="P13" s="284">
        <f t="shared" si="4"/>
        <v>0.58333333333333337</v>
      </c>
      <c r="Q13" s="284">
        <f t="shared" si="4"/>
        <v>0.58333333333333337</v>
      </c>
      <c r="R13" s="284">
        <f t="shared" si="4"/>
        <v>0.58333333333333337</v>
      </c>
      <c r="S13" s="284">
        <f t="shared" si="4"/>
        <v>0.58333333333333337</v>
      </c>
      <c r="T13" s="284">
        <f t="shared" si="4"/>
        <v>0.58333333333333337</v>
      </c>
      <c r="U13" s="284">
        <f t="shared" si="4"/>
        <v>0.58333333333333337</v>
      </c>
      <c r="V13" s="284">
        <f t="shared" si="4"/>
        <v>0.58333333333333337</v>
      </c>
      <c r="W13" s="284">
        <f t="shared" si="4"/>
        <v>0.58333333333333337</v>
      </c>
      <c r="X13" s="356">
        <f>SUM(N13:W13)</f>
        <v>5.833333333333333</v>
      </c>
      <c r="Y13" s="275"/>
      <c r="Z13" s="291"/>
      <c r="AA13" s="296"/>
      <c r="AB13" s="275"/>
      <c r="AC13" s="275"/>
      <c r="AD13" s="275"/>
      <c r="AE13" s="275"/>
      <c r="AF13" s="275"/>
    </row>
    <row r="14" spans="1:32" ht="24.95" customHeight="1">
      <c r="A14" s="1121"/>
      <c r="B14" s="847"/>
      <c r="C14" s="1078"/>
      <c r="D14" s="1082"/>
      <c r="E14" s="300"/>
      <c r="F14" s="836"/>
      <c r="G14" s="836"/>
      <c r="H14" s="836"/>
      <c r="I14" s="1062"/>
      <c r="J14" s="301"/>
      <c r="K14" s="280" t="s">
        <v>362</v>
      </c>
      <c r="L14" s="292"/>
      <c r="M14" s="292"/>
      <c r="N14" s="438"/>
      <c r="O14" s="438"/>
      <c r="P14" s="438"/>
      <c r="Q14" s="438"/>
      <c r="R14" s="438"/>
      <c r="S14" s="438"/>
      <c r="T14" s="438"/>
      <c r="U14" s="347"/>
      <c r="V14" s="347"/>
      <c r="W14" s="347"/>
      <c r="X14" s="344"/>
      <c r="Y14" s="275"/>
      <c r="Z14" s="275"/>
      <c r="AA14" s="275"/>
      <c r="AB14" s="275"/>
      <c r="AC14" s="275"/>
      <c r="AD14" s="275"/>
      <c r="AE14" s="275"/>
      <c r="AF14" s="275"/>
    </row>
    <row r="15" spans="1:32" ht="24.95" customHeight="1">
      <c r="A15" s="1121"/>
      <c r="B15" s="828">
        <v>6</v>
      </c>
      <c r="C15" s="848" t="s">
        <v>257</v>
      </c>
      <c r="D15" s="890" t="s">
        <v>325</v>
      </c>
      <c r="E15" s="369">
        <v>0</v>
      </c>
      <c r="F15" s="836"/>
      <c r="G15" s="836"/>
      <c r="H15" s="836"/>
      <c r="I15" s="1072"/>
      <c r="J15" s="298">
        <f>X15</f>
        <v>0</v>
      </c>
      <c r="K15" s="302" t="s">
        <v>361</v>
      </c>
      <c r="L15" s="284">
        <v>0</v>
      </c>
      <c r="M15" s="284">
        <v>0</v>
      </c>
      <c r="N15" s="284">
        <f>E15/12</f>
        <v>0</v>
      </c>
      <c r="O15" s="284">
        <f>N15</f>
        <v>0</v>
      </c>
      <c r="P15" s="284">
        <f t="shared" ref="P15:W15" si="5">O15</f>
        <v>0</v>
      </c>
      <c r="Q15" s="284">
        <f t="shared" si="5"/>
        <v>0</v>
      </c>
      <c r="R15" s="284">
        <f t="shared" si="5"/>
        <v>0</v>
      </c>
      <c r="S15" s="284">
        <f t="shared" si="5"/>
        <v>0</v>
      </c>
      <c r="T15" s="284">
        <f t="shared" si="5"/>
        <v>0</v>
      </c>
      <c r="U15" s="284">
        <f t="shared" si="5"/>
        <v>0</v>
      </c>
      <c r="V15" s="284">
        <f t="shared" si="5"/>
        <v>0</v>
      </c>
      <c r="W15" s="284">
        <f t="shared" si="5"/>
        <v>0</v>
      </c>
      <c r="X15" s="357">
        <f>SUM(N15:W15)</f>
        <v>0</v>
      </c>
      <c r="Y15" s="275"/>
      <c r="Z15" s="291"/>
      <c r="AA15" s="296"/>
      <c r="AB15" s="1067"/>
      <c r="AC15" s="1067"/>
      <c r="AD15" s="275"/>
      <c r="AE15" s="275"/>
      <c r="AF15" s="275"/>
    </row>
    <row r="16" spans="1:32" ht="24.95" customHeight="1">
      <c r="A16" s="1121"/>
      <c r="B16" s="829"/>
      <c r="C16" s="848"/>
      <c r="D16" s="890"/>
      <c r="E16" s="303"/>
      <c r="F16" s="836"/>
      <c r="G16" s="836"/>
      <c r="H16" s="836"/>
      <c r="I16" s="886"/>
      <c r="J16" s="301"/>
      <c r="K16" s="280" t="s">
        <v>362</v>
      </c>
      <c r="L16" s="439"/>
      <c r="M16" s="439"/>
      <c r="N16" s="351"/>
      <c r="O16" s="351"/>
      <c r="P16" s="351"/>
      <c r="Q16" s="351"/>
      <c r="R16" s="351"/>
      <c r="S16" s="351"/>
      <c r="T16" s="351"/>
      <c r="U16" s="283"/>
      <c r="V16" s="283"/>
      <c r="W16" s="283"/>
      <c r="X16" s="357"/>
      <c r="Y16" s="275"/>
      <c r="Z16" s="275"/>
      <c r="AA16" s="275"/>
      <c r="AB16" s="1067"/>
      <c r="AC16" s="1067"/>
      <c r="AD16" s="275"/>
      <c r="AE16" s="275"/>
      <c r="AF16" s="275"/>
    </row>
    <row r="17" spans="1:32" ht="24.95" customHeight="1">
      <c r="A17" s="1121"/>
      <c r="B17" s="847">
        <v>7</v>
      </c>
      <c r="C17" s="845" t="s">
        <v>230</v>
      </c>
      <c r="D17" s="835" t="s">
        <v>325</v>
      </c>
      <c r="E17" s="365">
        <f>710000/100000</f>
        <v>7.1</v>
      </c>
      <c r="F17" s="836"/>
      <c r="G17" s="836"/>
      <c r="H17" s="836"/>
      <c r="I17" s="1053">
        <v>40913</v>
      </c>
      <c r="J17" s="298">
        <f>X17</f>
        <v>3.5500000000000003</v>
      </c>
      <c r="K17" s="283" t="s">
        <v>361</v>
      </c>
      <c r="L17" s="284">
        <v>0</v>
      </c>
      <c r="M17" s="284">
        <f>E17/12</f>
        <v>0.59166666666666667</v>
      </c>
      <c r="N17" s="284">
        <f>M17</f>
        <v>0.59166666666666667</v>
      </c>
      <c r="O17" s="284">
        <f t="shared" ref="O17:W17" si="6">N17</f>
        <v>0.59166666666666667</v>
      </c>
      <c r="P17" s="284">
        <f t="shared" si="6"/>
        <v>0.59166666666666667</v>
      </c>
      <c r="Q17" s="284">
        <f t="shared" si="6"/>
        <v>0.59166666666666667</v>
      </c>
      <c r="R17" s="284">
        <f t="shared" si="6"/>
        <v>0.59166666666666667</v>
      </c>
      <c r="S17" s="284">
        <f t="shared" si="6"/>
        <v>0.59166666666666667</v>
      </c>
      <c r="T17" s="284">
        <f t="shared" si="6"/>
        <v>0.59166666666666667</v>
      </c>
      <c r="U17" s="284">
        <f t="shared" si="6"/>
        <v>0.59166666666666667</v>
      </c>
      <c r="V17" s="284">
        <f t="shared" si="6"/>
        <v>0.59166666666666667</v>
      </c>
      <c r="W17" s="284">
        <f t="shared" si="6"/>
        <v>0.59166666666666667</v>
      </c>
      <c r="X17" s="357">
        <f>SUM(R17:W17)</f>
        <v>3.5500000000000003</v>
      </c>
      <c r="Y17" s="288"/>
      <c r="Z17" s="291"/>
      <c r="AA17" s="275"/>
      <c r="AB17" s="275"/>
      <c r="AC17" s="296"/>
      <c r="AD17" s="275"/>
      <c r="AE17" s="275"/>
      <c r="AF17" s="275"/>
    </row>
    <row r="18" spans="1:32" ht="34.5" customHeight="1">
      <c r="A18" s="1121"/>
      <c r="B18" s="847"/>
      <c r="C18" s="846"/>
      <c r="D18" s="835"/>
      <c r="E18" s="303"/>
      <c r="F18" s="836"/>
      <c r="G18" s="836"/>
      <c r="H18" s="836"/>
      <c r="I18" s="1062"/>
      <c r="J18" s="301"/>
      <c r="K18" s="280" t="s">
        <v>362</v>
      </c>
      <c r="L18" s="292"/>
      <c r="M18" s="292"/>
      <c r="N18" s="351"/>
      <c r="O18" s="351"/>
      <c r="P18" s="351"/>
      <c r="Q18" s="351"/>
      <c r="R18" s="297"/>
      <c r="S18" s="297"/>
      <c r="T18" s="297"/>
      <c r="U18" s="280"/>
      <c r="V18" s="280"/>
      <c r="W18" s="280"/>
      <c r="X18" s="358"/>
      <c r="Y18" s="275"/>
      <c r="Z18" s="275"/>
      <c r="AA18" s="275"/>
      <c r="AB18" s="275"/>
      <c r="AC18" s="296"/>
      <c r="AD18" s="275"/>
      <c r="AE18" s="275"/>
      <c r="AF18" s="275"/>
    </row>
    <row r="19" spans="1:32" ht="24.95" customHeight="1">
      <c r="A19" s="1121"/>
      <c r="B19" s="847">
        <v>8</v>
      </c>
      <c r="C19" s="1068" t="s">
        <v>232</v>
      </c>
      <c r="D19" s="1070" t="s">
        <v>422</v>
      </c>
      <c r="E19" s="365">
        <f>270000/100000</f>
        <v>2.7</v>
      </c>
      <c r="F19" s="836"/>
      <c r="G19" s="836"/>
      <c r="H19" s="836"/>
      <c r="I19" s="1053">
        <v>40914</v>
      </c>
      <c r="J19" s="298">
        <f>X19</f>
        <v>2.2500000000000004</v>
      </c>
      <c r="K19" s="283" t="s">
        <v>361</v>
      </c>
      <c r="L19" s="284">
        <v>0</v>
      </c>
      <c r="M19" s="284">
        <v>0</v>
      </c>
      <c r="N19" s="284">
        <f>E19/12</f>
        <v>0.22500000000000001</v>
      </c>
      <c r="O19" s="284">
        <f>N19</f>
        <v>0.22500000000000001</v>
      </c>
      <c r="P19" s="284">
        <f t="shared" ref="P19:V19" si="7">O19</f>
        <v>0.22500000000000001</v>
      </c>
      <c r="Q19" s="284">
        <f t="shared" si="7"/>
        <v>0.22500000000000001</v>
      </c>
      <c r="R19" s="284">
        <f t="shared" si="7"/>
        <v>0.22500000000000001</v>
      </c>
      <c r="S19" s="284">
        <f t="shared" si="7"/>
        <v>0.22500000000000001</v>
      </c>
      <c r="T19" s="284">
        <f t="shared" si="7"/>
        <v>0.22500000000000001</v>
      </c>
      <c r="U19" s="284">
        <f t="shared" si="7"/>
        <v>0.22500000000000001</v>
      </c>
      <c r="V19" s="284">
        <f t="shared" si="7"/>
        <v>0.22500000000000001</v>
      </c>
      <c r="W19" s="284">
        <f>V19</f>
        <v>0.22500000000000001</v>
      </c>
      <c r="X19" s="359">
        <f>SUM(N19:W19)</f>
        <v>2.2500000000000004</v>
      </c>
      <c r="Y19" s="275"/>
      <c r="Z19" s="275"/>
      <c r="AA19" s="275"/>
      <c r="AB19" s="275"/>
      <c r="AC19" s="275"/>
      <c r="AD19" s="275"/>
      <c r="AE19" s="275"/>
      <c r="AF19" s="275"/>
    </row>
    <row r="20" spans="1:32" ht="24.95" customHeight="1">
      <c r="A20" s="1121"/>
      <c r="B20" s="847"/>
      <c r="C20" s="1069"/>
      <c r="D20" s="1071"/>
      <c r="E20" s="303"/>
      <c r="F20" s="836"/>
      <c r="G20" s="836"/>
      <c r="H20" s="836"/>
      <c r="I20" s="1062"/>
      <c r="J20" s="301"/>
      <c r="K20" s="280" t="s">
        <v>362</v>
      </c>
      <c r="L20" s="292"/>
      <c r="M20" s="292"/>
      <c r="N20" s="297"/>
      <c r="O20" s="297"/>
      <c r="P20" s="297"/>
      <c r="Q20" s="284"/>
      <c r="R20" s="284"/>
      <c r="S20" s="284"/>
      <c r="T20" s="284"/>
      <c r="U20" s="284"/>
      <c r="V20" s="284"/>
      <c r="W20" s="284"/>
      <c r="X20" s="358">
        <f>SUM(O20:W20)</f>
        <v>0</v>
      </c>
      <c r="Y20" s="275"/>
      <c r="Z20" s="1066"/>
      <c r="AA20" s="275"/>
      <c r="AB20" s="275"/>
      <c r="AC20" s="275"/>
      <c r="AD20" s="1067"/>
      <c r="AE20" s="275"/>
      <c r="AF20" s="275"/>
    </row>
    <row r="21" spans="1:32" ht="24.95" customHeight="1">
      <c r="A21" s="1121"/>
      <c r="B21" s="828">
        <v>9</v>
      </c>
      <c r="C21" s="1068" t="s">
        <v>258</v>
      </c>
      <c r="D21" s="1070" t="s">
        <v>423</v>
      </c>
      <c r="E21" s="365">
        <f>320000/100000</f>
        <v>3.2</v>
      </c>
      <c r="F21" s="836"/>
      <c r="G21" s="836"/>
      <c r="H21" s="836"/>
      <c r="I21" s="1053">
        <v>40912</v>
      </c>
      <c r="J21" s="298">
        <f>X21</f>
        <v>2.6666666666666665</v>
      </c>
      <c r="K21" s="283" t="s">
        <v>361</v>
      </c>
      <c r="L21" s="284">
        <f>E21/12</f>
        <v>0.26666666666666666</v>
      </c>
      <c r="M21" s="284">
        <f>L21</f>
        <v>0.26666666666666666</v>
      </c>
      <c r="N21" s="284">
        <f t="shared" ref="N21:W21" si="8">M21</f>
        <v>0.26666666666666666</v>
      </c>
      <c r="O21" s="284">
        <f t="shared" si="8"/>
        <v>0.26666666666666666</v>
      </c>
      <c r="P21" s="284">
        <f t="shared" si="8"/>
        <v>0.26666666666666666</v>
      </c>
      <c r="Q21" s="284">
        <f t="shared" si="8"/>
        <v>0.26666666666666666</v>
      </c>
      <c r="R21" s="284">
        <f t="shared" si="8"/>
        <v>0.26666666666666666</v>
      </c>
      <c r="S21" s="284">
        <f t="shared" si="8"/>
        <v>0.26666666666666666</v>
      </c>
      <c r="T21" s="284">
        <f t="shared" si="8"/>
        <v>0.26666666666666666</v>
      </c>
      <c r="U21" s="284">
        <f t="shared" si="8"/>
        <v>0.26666666666666666</v>
      </c>
      <c r="V21" s="284">
        <f t="shared" si="8"/>
        <v>0.26666666666666666</v>
      </c>
      <c r="W21" s="284">
        <f t="shared" si="8"/>
        <v>0.26666666666666666</v>
      </c>
      <c r="X21" s="357">
        <f>SUM(N21:W21)</f>
        <v>2.6666666666666665</v>
      </c>
      <c r="Y21" s="275"/>
      <c r="Z21" s="1066"/>
      <c r="AA21" s="275"/>
      <c r="AB21" s="275"/>
      <c r="AC21" s="296"/>
      <c r="AD21" s="1067"/>
      <c r="AE21" s="275"/>
      <c r="AF21" s="275"/>
    </row>
    <row r="22" spans="1:32" ht="24.95" customHeight="1">
      <c r="A22" s="1121"/>
      <c r="B22" s="829"/>
      <c r="C22" s="1069"/>
      <c r="D22" s="1071"/>
      <c r="E22" s="303"/>
      <c r="F22" s="836"/>
      <c r="G22" s="836"/>
      <c r="H22" s="836"/>
      <c r="I22" s="1062"/>
      <c r="J22" s="301"/>
      <c r="K22" s="289" t="s">
        <v>362</v>
      </c>
      <c r="L22" s="292"/>
      <c r="M22" s="292"/>
      <c r="N22" s="284"/>
      <c r="O22" s="284"/>
      <c r="P22" s="284"/>
      <c r="Q22" s="440"/>
      <c r="R22" s="440"/>
      <c r="S22" s="440"/>
      <c r="T22" s="440"/>
      <c r="U22" s="348"/>
      <c r="V22" s="348"/>
      <c r="W22" s="348"/>
      <c r="X22" s="357"/>
      <c r="Y22" s="275"/>
      <c r="Z22" s="1066"/>
      <c r="AA22" s="275"/>
      <c r="AB22" s="275"/>
      <c r="AC22" s="275"/>
      <c r="AD22" s="1067"/>
      <c r="AE22" s="275"/>
      <c r="AF22" s="275"/>
    </row>
    <row r="23" spans="1:32" ht="24.95" customHeight="1">
      <c r="A23" s="1121"/>
      <c r="B23" s="847">
        <v>10</v>
      </c>
      <c r="C23" s="1073" t="s">
        <v>259</v>
      </c>
      <c r="D23" s="1075" t="s">
        <v>340</v>
      </c>
      <c r="E23" s="365">
        <f>320000/100000</f>
        <v>3.2</v>
      </c>
      <c r="F23" s="1061"/>
      <c r="G23" s="1061"/>
      <c r="H23" s="1061"/>
      <c r="I23" s="1053" t="s">
        <v>427</v>
      </c>
      <c r="J23" s="282">
        <f>X23</f>
        <v>1.5999999999999999</v>
      </c>
      <c r="K23" s="283" t="s">
        <v>361</v>
      </c>
      <c r="L23" s="284">
        <f>E23/12</f>
        <v>0.26666666666666666</v>
      </c>
      <c r="M23" s="284">
        <f>L23</f>
        <v>0.26666666666666666</v>
      </c>
      <c r="N23" s="284">
        <f t="shared" ref="N23:W23" si="9">M23</f>
        <v>0.26666666666666666</v>
      </c>
      <c r="O23" s="284">
        <f t="shared" si="9"/>
        <v>0.26666666666666666</v>
      </c>
      <c r="P23" s="284">
        <f t="shared" si="9"/>
        <v>0.26666666666666666</v>
      </c>
      <c r="Q23" s="284">
        <f t="shared" si="9"/>
        <v>0.26666666666666666</v>
      </c>
      <c r="R23" s="284">
        <f t="shared" si="9"/>
        <v>0.26666666666666666</v>
      </c>
      <c r="S23" s="284">
        <f t="shared" si="9"/>
        <v>0.26666666666666666</v>
      </c>
      <c r="T23" s="284">
        <f t="shared" si="9"/>
        <v>0.26666666666666666</v>
      </c>
      <c r="U23" s="284">
        <f t="shared" si="9"/>
        <v>0.26666666666666666</v>
      </c>
      <c r="V23" s="284">
        <f t="shared" si="9"/>
        <v>0.26666666666666666</v>
      </c>
      <c r="W23" s="284">
        <f t="shared" si="9"/>
        <v>0.26666666666666666</v>
      </c>
      <c r="X23" s="357">
        <f>SUM(R23:W23)</f>
        <v>1.5999999999999999</v>
      </c>
      <c r="Y23" s="275"/>
      <c r="Z23" s="275"/>
      <c r="AA23" s="275"/>
      <c r="AB23" s="275"/>
      <c r="AC23" s="275"/>
      <c r="AD23" s="1067"/>
      <c r="AE23" s="275"/>
      <c r="AF23" s="275"/>
    </row>
    <row r="24" spans="1:32" ht="24.95" customHeight="1">
      <c r="A24" s="1121"/>
      <c r="B24" s="847"/>
      <c r="C24" s="1074"/>
      <c r="D24" s="1076"/>
      <c r="E24" s="285"/>
      <c r="F24" s="1061"/>
      <c r="G24" s="1061"/>
      <c r="H24" s="1061"/>
      <c r="I24" s="1062"/>
      <c r="J24" s="286"/>
      <c r="K24" s="280" t="s">
        <v>362</v>
      </c>
      <c r="L24" s="441"/>
      <c r="M24" s="441"/>
      <c r="N24" s="284"/>
      <c r="O24" s="284"/>
      <c r="P24" s="284"/>
      <c r="Q24" s="284"/>
      <c r="R24" s="297"/>
      <c r="S24" s="297"/>
      <c r="T24" s="297"/>
      <c r="U24" s="280"/>
      <c r="V24" s="280"/>
      <c r="W24" s="280"/>
      <c r="X24" s="358"/>
      <c r="Y24" s="275"/>
      <c r="Z24" s="275"/>
      <c r="AA24" s="275"/>
      <c r="AB24" s="275"/>
      <c r="AC24" s="275"/>
      <c r="AD24" s="1067"/>
      <c r="AE24" s="275"/>
      <c r="AF24" s="275"/>
    </row>
    <row r="25" spans="1:32" ht="24.95" customHeight="1">
      <c r="A25" s="1121"/>
      <c r="B25" s="847">
        <v>11</v>
      </c>
      <c r="C25" s="1068" t="s">
        <v>260</v>
      </c>
      <c r="D25" s="1070" t="s">
        <v>341</v>
      </c>
      <c r="E25" s="365">
        <f>2760000/100000</f>
        <v>27.6</v>
      </c>
      <c r="F25" s="836"/>
      <c r="G25" s="836"/>
      <c r="H25" s="836"/>
      <c r="I25" s="1053" t="s">
        <v>427</v>
      </c>
      <c r="J25" s="298">
        <f>X25</f>
        <v>13.800000000000002</v>
      </c>
      <c r="K25" s="351" t="s">
        <v>361</v>
      </c>
      <c r="L25" s="284">
        <f>E25/12</f>
        <v>2.3000000000000003</v>
      </c>
      <c r="M25" s="284">
        <f>L25</f>
        <v>2.3000000000000003</v>
      </c>
      <c r="N25" s="284">
        <f t="shared" ref="N25:W25" si="10">M25</f>
        <v>2.3000000000000003</v>
      </c>
      <c r="O25" s="284">
        <f t="shared" si="10"/>
        <v>2.3000000000000003</v>
      </c>
      <c r="P25" s="284">
        <f t="shared" si="10"/>
        <v>2.3000000000000003</v>
      </c>
      <c r="Q25" s="284">
        <f t="shared" si="10"/>
        <v>2.3000000000000003</v>
      </c>
      <c r="R25" s="284">
        <f t="shared" si="10"/>
        <v>2.3000000000000003</v>
      </c>
      <c r="S25" s="284">
        <f t="shared" si="10"/>
        <v>2.3000000000000003</v>
      </c>
      <c r="T25" s="284">
        <f t="shared" si="10"/>
        <v>2.3000000000000003</v>
      </c>
      <c r="U25" s="284">
        <f t="shared" si="10"/>
        <v>2.3000000000000003</v>
      </c>
      <c r="V25" s="284">
        <f t="shared" si="10"/>
        <v>2.3000000000000003</v>
      </c>
      <c r="W25" s="284">
        <f t="shared" si="10"/>
        <v>2.3000000000000003</v>
      </c>
      <c r="X25" s="357">
        <f>SUM(R25:W25)</f>
        <v>13.800000000000002</v>
      </c>
      <c r="Y25" s="275"/>
      <c r="Z25" s="275"/>
      <c r="AA25" s="275"/>
      <c r="AB25" s="275"/>
      <c r="AC25" s="275"/>
      <c r="AD25" s="1067"/>
      <c r="AE25" s="275"/>
      <c r="AF25" s="275"/>
    </row>
    <row r="26" spans="1:32" ht="24.95" customHeight="1">
      <c r="A26" s="1121"/>
      <c r="B26" s="847"/>
      <c r="C26" s="1069"/>
      <c r="D26" s="1071"/>
      <c r="E26" s="303"/>
      <c r="F26" s="836"/>
      <c r="G26" s="836"/>
      <c r="H26" s="836"/>
      <c r="I26" s="1062"/>
      <c r="J26" s="352">
        <f>X26</f>
        <v>0</v>
      </c>
      <c r="K26" s="297" t="s">
        <v>362</v>
      </c>
      <c r="L26" s="355"/>
      <c r="M26" s="355"/>
      <c r="N26" s="354"/>
      <c r="O26" s="354"/>
      <c r="P26" s="293"/>
      <c r="Q26" s="293"/>
      <c r="R26" s="293"/>
      <c r="S26" s="293"/>
      <c r="T26" s="293"/>
      <c r="U26" s="354"/>
      <c r="V26" s="354"/>
      <c r="W26" s="354"/>
      <c r="X26" s="360">
        <f>SUM(N26:W26)</f>
        <v>0</v>
      </c>
      <c r="Y26" s="275"/>
      <c r="Z26" s="275"/>
      <c r="AA26" s="275"/>
      <c r="AB26" s="275"/>
      <c r="AC26" s="275"/>
      <c r="AD26" s="275"/>
      <c r="AE26" s="275"/>
      <c r="AF26" s="275"/>
    </row>
    <row r="27" spans="1:32" ht="24.95" customHeight="1">
      <c r="A27" s="1121"/>
      <c r="B27" s="847">
        <v>12</v>
      </c>
      <c r="C27" s="863" t="s">
        <v>261</v>
      </c>
      <c r="D27" s="1065" t="s">
        <v>342</v>
      </c>
      <c r="E27" s="365">
        <f>260000/100000</f>
        <v>2.6</v>
      </c>
      <c r="F27" s="1061"/>
      <c r="G27" s="1061"/>
      <c r="H27" s="1061"/>
      <c r="I27" s="1053">
        <v>40913</v>
      </c>
      <c r="J27" s="282">
        <f>X27</f>
        <v>1.3000000000000003</v>
      </c>
      <c r="K27" s="299" t="s">
        <v>361</v>
      </c>
      <c r="L27" s="284">
        <v>0</v>
      </c>
      <c r="M27" s="284">
        <f>E27/12</f>
        <v>0.21666666666666667</v>
      </c>
      <c r="N27" s="284">
        <f>M27</f>
        <v>0.21666666666666667</v>
      </c>
      <c r="O27" s="284">
        <f t="shared" ref="O27:V27" si="11">N27</f>
        <v>0.21666666666666667</v>
      </c>
      <c r="P27" s="284">
        <f t="shared" si="11"/>
        <v>0.21666666666666667</v>
      </c>
      <c r="Q27" s="284">
        <f t="shared" si="11"/>
        <v>0.21666666666666667</v>
      </c>
      <c r="R27" s="284">
        <f t="shared" si="11"/>
        <v>0.21666666666666667</v>
      </c>
      <c r="S27" s="284">
        <f t="shared" si="11"/>
        <v>0.21666666666666667</v>
      </c>
      <c r="T27" s="284">
        <f t="shared" si="11"/>
        <v>0.21666666666666667</v>
      </c>
      <c r="U27" s="284">
        <f t="shared" si="11"/>
        <v>0.21666666666666667</v>
      </c>
      <c r="V27" s="284">
        <f t="shared" si="11"/>
        <v>0.21666666666666667</v>
      </c>
      <c r="W27" s="346">
        <f>V27</f>
        <v>0.21666666666666667</v>
      </c>
      <c r="X27" s="357">
        <f>SUM(R27:W27)</f>
        <v>1.3000000000000003</v>
      </c>
      <c r="Y27" s="275"/>
      <c r="Z27" s="275"/>
      <c r="AA27" s="275"/>
      <c r="AB27" s="275"/>
      <c r="AC27" s="275"/>
      <c r="AD27" s="275"/>
      <c r="AE27" s="275"/>
      <c r="AF27" s="275"/>
    </row>
    <row r="28" spans="1:32" ht="24.75" customHeight="1">
      <c r="A28" s="1121"/>
      <c r="B28" s="847"/>
      <c r="C28" s="864"/>
      <c r="D28" s="1065"/>
      <c r="E28" s="306"/>
      <c r="F28" s="1061"/>
      <c r="G28" s="1061"/>
      <c r="H28" s="1061"/>
      <c r="I28" s="1062"/>
      <c r="J28" s="286"/>
      <c r="K28" s="280" t="s">
        <v>362</v>
      </c>
      <c r="L28" s="292"/>
      <c r="M28" s="292"/>
      <c r="N28" s="442"/>
      <c r="O28" s="442"/>
      <c r="P28" s="442"/>
      <c r="Q28" s="442"/>
      <c r="R28" s="442"/>
      <c r="S28" s="442"/>
      <c r="T28" s="442"/>
      <c r="U28" s="393"/>
      <c r="V28" s="393"/>
      <c r="W28" s="393"/>
      <c r="X28" s="337"/>
      <c r="Y28" s="275"/>
      <c r="Z28" s="275"/>
      <c r="AA28" s="275"/>
      <c r="AB28" s="275"/>
      <c r="AC28" s="275"/>
      <c r="AD28" s="275"/>
      <c r="AE28" s="275"/>
      <c r="AF28" s="275"/>
    </row>
    <row r="29" spans="1:32" ht="24.95" customHeight="1">
      <c r="A29" s="308"/>
      <c r="B29" s="847">
        <v>13</v>
      </c>
      <c r="C29" s="863" t="s">
        <v>262</v>
      </c>
      <c r="D29" s="1065" t="s">
        <v>334</v>
      </c>
      <c r="E29" s="368">
        <f>670000/100000</f>
        <v>6.7</v>
      </c>
      <c r="F29" s="1061"/>
      <c r="G29" s="1061"/>
      <c r="H29" s="1061"/>
      <c r="I29" s="1053">
        <v>41189</v>
      </c>
      <c r="J29" s="282">
        <f>X29</f>
        <v>3.3500000000000005</v>
      </c>
      <c r="K29" s="299" t="s">
        <v>361</v>
      </c>
      <c r="L29" s="284">
        <v>0</v>
      </c>
      <c r="M29" s="284">
        <v>0</v>
      </c>
      <c r="N29" s="284">
        <v>0</v>
      </c>
      <c r="O29" s="284">
        <f>E29/12</f>
        <v>0.55833333333333335</v>
      </c>
      <c r="P29" s="284">
        <f>O29</f>
        <v>0.55833333333333335</v>
      </c>
      <c r="Q29" s="284">
        <f t="shared" ref="Q29:W29" si="12">P29</f>
        <v>0.55833333333333335</v>
      </c>
      <c r="R29" s="284">
        <f t="shared" si="12"/>
        <v>0.55833333333333335</v>
      </c>
      <c r="S29" s="284">
        <f t="shared" si="12"/>
        <v>0.55833333333333335</v>
      </c>
      <c r="T29" s="284">
        <f t="shared" si="12"/>
        <v>0.55833333333333335</v>
      </c>
      <c r="U29" s="284">
        <f t="shared" si="12"/>
        <v>0.55833333333333335</v>
      </c>
      <c r="V29" s="284">
        <f t="shared" si="12"/>
        <v>0.55833333333333335</v>
      </c>
      <c r="W29" s="284">
        <f t="shared" si="12"/>
        <v>0.55833333333333335</v>
      </c>
      <c r="X29" s="357">
        <f>SUM(R29:W29)</f>
        <v>3.3500000000000005</v>
      </c>
      <c r="Y29" s="275"/>
      <c r="Z29" s="275"/>
      <c r="AA29" s="275"/>
      <c r="AB29" s="275"/>
      <c r="AC29" s="275"/>
      <c r="AD29" s="275"/>
      <c r="AE29" s="275"/>
      <c r="AF29" s="275"/>
    </row>
    <row r="30" spans="1:32" ht="26.25" customHeight="1">
      <c r="A30" s="308"/>
      <c r="B30" s="847"/>
      <c r="C30" s="864"/>
      <c r="D30" s="1065"/>
      <c r="E30" s="306"/>
      <c r="F30" s="1061"/>
      <c r="G30" s="1061"/>
      <c r="H30" s="1061"/>
      <c r="I30" s="1062"/>
      <c r="J30" s="286"/>
      <c r="K30" s="280" t="s">
        <v>362</v>
      </c>
      <c r="L30" s="292"/>
      <c r="M30" s="292"/>
      <c r="N30" s="442"/>
      <c r="O30" s="442"/>
      <c r="P30" s="442"/>
      <c r="Q30" s="442"/>
      <c r="R30" s="442"/>
      <c r="S30" s="442"/>
      <c r="T30" s="442"/>
      <c r="U30" s="393"/>
      <c r="V30" s="393"/>
      <c r="W30" s="393"/>
      <c r="X30" s="337"/>
      <c r="Y30" s="275"/>
      <c r="Z30" s="275"/>
      <c r="AA30" s="275"/>
      <c r="AB30" s="275"/>
      <c r="AC30" s="275"/>
      <c r="AD30" s="275"/>
      <c r="AE30" s="275"/>
      <c r="AF30" s="275"/>
    </row>
    <row r="31" spans="1:32" ht="26.25" customHeight="1">
      <c r="A31" s="308"/>
      <c r="B31" s="847">
        <v>14</v>
      </c>
      <c r="C31" s="1063" t="s">
        <v>263</v>
      </c>
      <c r="D31" s="1059" t="s">
        <v>334</v>
      </c>
      <c r="E31" s="368">
        <f>4535380/100000</f>
        <v>45.3538</v>
      </c>
      <c r="F31" s="1061"/>
      <c r="G31" s="1061"/>
      <c r="H31" s="1061"/>
      <c r="I31" s="1053">
        <v>41189</v>
      </c>
      <c r="J31" s="282">
        <f>X31</f>
        <v>34.015349999999991</v>
      </c>
      <c r="K31" s="299" t="s">
        <v>361</v>
      </c>
      <c r="L31" s="284">
        <v>0</v>
      </c>
      <c r="M31" s="284">
        <v>0</v>
      </c>
      <c r="N31" s="284">
        <v>0</v>
      </c>
      <c r="O31" s="284">
        <f>E31/12</f>
        <v>3.7794833333333333</v>
      </c>
      <c r="P31" s="284">
        <f>O31</f>
        <v>3.7794833333333333</v>
      </c>
      <c r="Q31" s="284">
        <f t="shared" ref="Q31:W31" si="13">P31</f>
        <v>3.7794833333333333</v>
      </c>
      <c r="R31" s="284">
        <f t="shared" si="13"/>
        <v>3.7794833333333333</v>
      </c>
      <c r="S31" s="284">
        <f t="shared" si="13"/>
        <v>3.7794833333333333</v>
      </c>
      <c r="T31" s="284">
        <f t="shared" si="13"/>
        <v>3.7794833333333333</v>
      </c>
      <c r="U31" s="284">
        <f t="shared" si="13"/>
        <v>3.7794833333333333</v>
      </c>
      <c r="V31" s="284">
        <f t="shared" si="13"/>
        <v>3.7794833333333333</v>
      </c>
      <c r="W31" s="284">
        <f t="shared" si="13"/>
        <v>3.7794833333333333</v>
      </c>
      <c r="X31" s="357">
        <f>SUM(O31:W31)</f>
        <v>34.015349999999991</v>
      </c>
      <c r="Y31" s="275"/>
      <c r="Z31" s="275"/>
      <c r="AA31" s="275"/>
      <c r="AB31" s="275"/>
      <c r="AC31" s="275"/>
      <c r="AD31" s="275"/>
      <c r="AE31" s="275"/>
      <c r="AF31" s="275"/>
    </row>
    <row r="32" spans="1:32" ht="26.25" customHeight="1">
      <c r="A32" s="308"/>
      <c r="B32" s="847"/>
      <c r="C32" s="1064"/>
      <c r="D32" s="1060"/>
      <c r="E32" s="306"/>
      <c r="F32" s="1061"/>
      <c r="G32" s="1061"/>
      <c r="H32" s="1061"/>
      <c r="I32" s="1062"/>
      <c r="J32" s="286"/>
      <c r="K32" s="280" t="s">
        <v>362</v>
      </c>
      <c r="L32" s="292"/>
      <c r="M32" s="292"/>
      <c r="N32" s="443"/>
      <c r="O32" s="442"/>
      <c r="P32" s="442"/>
      <c r="Q32" s="442"/>
      <c r="R32" s="442"/>
      <c r="S32" s="442"/>
      <c r="T32" s="442"/>
      <c r="U32" s="393"/>
      <c r="V32" s="393"/>
      <c r="W32" s="393"/>
      <c r="X32" s="337"/>
      <c r="Y32" s="275"/>
      <c r="Z32" s="275"/>
      <c r="AA32" s="275"/>
      <c r="AB32" s="275"/>
      <c r="AC32" s="275"/>
      <c r="AD32" s="275"/>
      <c r="AE32" s="275"/>
      <c r="AF32" s="275"/>
    </row>
    <row r="33" spans="1:32" ht="26.25" customHeight="1">
      <c r="A33" s="308"/>
      <c r="B33" s="828">
        <v>15</v>
      </c>
      <c r="C33" s="863" t="s">
        <v>264</v>
      </c>
      <c r="D33" s="1059"/>
      <c r="E33" s="368">
        <f>150000/100000</f>
        <v>1.5</v>
      </c>
      <c r="F33" s="1061"/>
      <c r="G33" s="1061"/>
      <c r="H33" s="1061"/>
      <c r="I33" s="1053">
        <v>41189</v>
      </c>
      <c r="J33" s="282">
        <f>X33</f>
        <v>1</v>
      </c>
      <c r="K33" s="299" t="s">
        <v>361</v>
      </c>
      <c r="L33" s="284">
        <v>0</v>
      </c>
      <c r="M33" s="284">
        <v>0</v>
      </c>
      <c r="N33" s="284">
        <v>0</v>
      </c>
      <c r="O33" s="284">
        <f>E33/12</f>
        <v>0.125</v>
      </c>
      <c r="P33" s="284">
        <f t="shared" ref="P33:W33" si="14">O33</f>
        <v>0.125</v>
      </c>
      <c r="Q33" s="284">
        <f t="shared" si="14"/>
        <v>0.125</v>
      </c>
      <c r="R33" s="284">
        <f t="shared" si="14"/>
        <v>0.125</v>
      </c>
      <c r="S33" s="284">
        <f t="shared" si="14"/>
        <v>0.125</v>
      </c>
      <c r="T33" s="284">
        <f t="shared" si="14"/>
        <v>0.125</v>
      </c>
      <c r="U33" s="346">
        <f t="shared" si="14"/>
        <v>0.125</v>
      </c>
      <c r="V33" s="346">
        <f t="shared" si="14"/>
        <v>0.125</v>
      </c>
      <c r="W33" s="346">
        <f t="shared" si="14"/>
        <v>0.125</v>
      </c>
      <c r="X33" s="357">
        <f>SUM(P33:W33)</f>
        <v>1</v>
      </c>
      <c r="Y33" s="275"/>
      <c r="Z33" s="275"/>
      <c r="AA33" s="275"/>
      <c r="AB33" s="275"/>
      <c r="AC33" s="275"/>
      <c r="AD33" s="275"/>
      <c r="AE33" s="275"/>
      <c r="AF33" s="275"/>
    </row>
    <row r="34" spans="1:32" ht="33" customHeight="1">
      <c r="A34" s="308"/>
      <c r="B34" s="829"/>
      <c r="C34" s="864"/>
      <c r="D34" s="1060"/>
      <c r="E34" s="306"/>
      <c r="F34" s="1061"/>
      <c r="G34" s="1061"/>
      <c r="H34" s="1061"/>
      <c r="I34" s="1062"/>
      <c r="J34" s="286"/>
      <c r="K34" s="280" t="s">
        <v>362</v>
      </c>
      <c r="L34" s="292"/>
      <c r="M34" s="292"/>
      <c r="N34" s="442"/>
      <c r="O34" s="442"/>
      <c r="P34" s="442"/>
      <c r="Q34" s="442"/>
      <c r="R34" s="442"/>
      <c r="S34" s="442"/>
      <c r="T34" s="442"/>
      <c r="U34" s="393"/>
      <c r="V34" s="393"/>
      <c r="W34" s="393"/>
      <c r="X34" s="337"/>
      <c r="Y34" s="275"/>
      <c r="Z34" s="275"/>
      <c r="AA34" s="275"/>
      <c r="AB34" s="275"/>
      <c r="AC34" s="275"/>
      <c r="AD34" s="275"/>
      <c r="AE34" s="275"/>
      <c r="AF34" s="275"/>
    </row>
    <row r="35" spans="1:32" ht="26.25" customHeight="1">
      <c r="A35" s="308"/>
      <c r="B35" s="847">
        <v>16</v>
      </c>
      <c r="C35" s="1057" t="s">
        <v>265</v>
      </c>
      <c r="D35" s="1059" t="s">
        <v>334</v>
      </c>
      <c r="E35" s="368">
        <f>1110000/100000</f>
        <v>11.1</v>
      </c>
      <c r="F35" s="1061"/>
      <c r="G35" s="1061"/>
      <c r="H35" s="1061"/>
      <c r="I35" s="1053" t="s">
        <v>243</v>
      </c>
      <c r="J35" s="282">
        <f>X35</f>
        <v>7.3999999999999995</v>
      </c>
      <c r="K35" s="299" t="s">
        <v>361</v>
      </c>
      <c r="L35" s="284">
        <v>0</v>
      </c>
      <c r="M35" s="284">
        <v>0</v>
      </c>
      <c r="N35" s="284">
        <v>0</v>
      </c>
      <c r="O35" s="284">
        <f>E35/12</f>
        <v>0.92499999999999993</v>
      </c>
      <c r="P35" s="284">
        <f>O35</f>
        <v>0.92499999999999993</v>
      </c>
      <c r="Q35" s="284">
        <f t="shared" ref="Q35:W35" si="15">P35</f>
        <v>0.92499999999999993</v>
      </c>
      <c r="R35" s="284">
        <f t="shared" si="15"/>
        <v>0.92499999999999993</v>
      </c>
      <c r="S35" s="284">
        <f t="shared" si="15"/>
        <v>0.92499999999999993</v>
      </c>
      <c r="T35" s="284">
        <f t="shared" si="15"/>
        <v>0.92499999999999993</v>
      </c>
      <c r="U35" s="284">
        <f t="shared" si="15"/>
        <v>0.92499999999999993</v>
      </c>
      <c r="V35" s="284">
        <f t="shared" si="15"/>
        <v>0.92499999999999993</v>
      </c>
      <c r="W35" s="284">
        <f t="shared" si="15"/>
        <v>0.92499999999999993</v>
      </c>
      <c r="X35" s="357">
        <f>SUM(P35:W35)</f>
        <v>7.3999999999999995</v>
      </c>
      <c r="Y35" s="275"/>
      <c r="Z35" s="275"/>
      <c r="AA35" s="275"/>
      <c r="AB35" s="275"/>
      <c r="AC35" s="275"/>
      <c r="AD35" s="275"/>
      <c r="AE35" s="275"/>
      <c r="AF35" s="275"/>
    </row>
    <row r="36" spans="1:32" ht="28.5" customHeight="1">
      <c r="A36" s="308"/>
      <c r="B36" s="847"/>
      <c r="C36" s="1058"/>
      <c r="D36" s="1060"/>
      <c r="E36" s="306"/>
      <c r="F36" s="1061"/>
      <c r="G36" s="1061"/>
      <c r="H36" s="1061"/>
      <c r="I36" s="1062"/>
      <c r="J36" s="286"/>
      <c r="K36" s="280" t="s">
        <v>362</v>
      </c>
      <c r="L36" s="292"/>
      <c r="M36" s="292"/>
      <c r="N36" s="442"/>
      <c r="O36" s="442"/>
      <c r="P36" s="442"/>
      <c r="Q36" s="442"/>
      <c r="R36" s="442"/>
      <c r="S36" s="442"/>
      <c r="T36" s="442"/>
      <c r="U36" s="393"/>
      <c r="V36" s="393"/>
      <c r="W36" s="393"/>
      <c r="X36" s="337"/>
      <c r="Y36" s="275"/>
      <c r="Z36" s="275"/>
      <c r="AA36" s="275"/>
      <c r="AB36" s="275"/>
      <c r="AC36" s="275"/>
      <c r="AD36" s="275"/>
      <c r="AE36" s="275"/>
      <c r="AF36" s="275"/>
    </row>
    <row r="37" spans="1:32" ht="26.25" customHeight="1">
      <c r="A37" s="308"/>
      <c r="B37" s="847">
        <v>17</v>
      </c>
      <c r="C37" s="1057" t="s">
        <v>266</v>
      </c>
      <c r="D37" s="1059" t="s">
        <v>334</v>
      </c>
      <c r="E37" s="365">
        <f>1080000/100000</f>
        <v>10.8</v>
      </c>
      <c r="F37" s="1061"/>
      <c r="G37" s="1061"/>
      <c r="H37" s="1061"/>
      <c r="I37" s="1053" t="s">
        <v>246</v>
      </c>
      <c r="J37" s="282">
        <f>X37</f>
        <v>7.2000000000000011</v>
      </c>
      <c r="K37" s="299" t="s">
        <v>361</v>
      </c>
      <c r="L37" s="284">
        <v>0</v>
      </c>
      <c r="M37" s="284">
        <v>0</v>
      </c>
      <c r="N37" s="284">
        <v>0</v>
      </c>
      <c r="O37" s="284">
        <f>E37/12</f>
        <v>0.9</v>
      </c>
      <c r="P37" s="284">
        <f>O37</f>
        <v>0.9</v>
      </c>
      <c r="Q37" s="284">
        <f t="shared" ref="Q37:W37" si="16">P37</f>
        <v>0.9</v>
      </c>
      <c r="R37" s="284">
        <f t="shared" si="16"/>
        <v>0.9</v>
      </c>
      <c r="S37" s="284">
        <f t="shared" si="16"/>
        <v>0.9</v>
      </c>
      <c r="T37" s="284">
        <f t="shared" si="16"/>
        <v>0.9</v>
      </c>
      <c r="U37" s="284">
        <f t="shared" si="16"/>
        <v>0.9</v>
      </c>
      <c r="V37" s="284">
        <f t="shared" si="16"/>
        <v>0.9</v>
      </c>
      <c r="W37" s="284">
        <f t="shared" si="16"/>
        <v>0.9</v>
      </c>
      <c r="X37" s="357">
        <f>SUM(P37:W37)</f>
        <v>7.2000000000000011</v>
      </c>
      <c r="Y37" s="275"/>
      <c r="Z37" s="275"/>
      <c r="AA37" s="275"/>
      <c r="AB37" s="275"/>
      <c r="AC37" s="275"/>
      <c r="AD37" s="275"/>
      <c r="AE37" s="275"/>
      <c r="AF37" s="275"/>
    </row>
    <row r="38" spans="1:32" ht="38.25" customHeight="1">
      <c r="A38" s="308"/>
      <c r="B38" s="847"/>
      <c r="C38" s="1058"/>
      <c r="D38" s="1060"/>
      <c r="E38" s="306"/>
      <c r="F38" s="1061"/>
      <c r="G38" s="1061"/>
      <c r="H38" s="1061"/>
      <c r="I38" s="1062"/>
      <c r="J38" s="286"/>
      <c r="K38" s="280" t="s">
        <v>362</v>
      </c>
      <c r="L38" s="292"/>
      <c r="M38" s="292"/>
      <c r="N38" s="442"/>
      <c r="O38" s="442"/>
      <c r="P38" s="442"/>
      <c r="Q38" s="442"/>
      <c r="R38" s="442"/>
      <c r="S38" s="442"/>
      <c r="T38" s="442"/>
      <c r="U38" s="393"/>
      <c r="V38" s="393"/>
      <c r="W38" s="393"/>
      <c r="X38" s="393"/>
      <c r="Y38" s="275"/>
      <c r="Z38" s="275"/>
      <c r="AA38" s="275"/>
      <c r="AB38" s="275"/>
      <c r="AC38" s="275"/>
      <c r="AD38" s="275"/>
      <c r="AE38" s="275"/>
      <c r="AF38" s="275"/>
    </row>
    <row r="39" spans="1:32" ht="26.25" customHeight="1">
      <c r="A39" s="308"/>
      <c r="B39" s="828">
        <v>18</v>
      </c>
      <c r="C39" s="1057" t="s">
        <v>267</v>
      </c>
      <c r="D39" s="1059" t="s">
        <v>325</v>
      </c>
      <c r="E39" s="369">
        <v>0</v>
      </c>
      <c r="F39" s="1061"/>
      <c r="G39" s="1061"/>
      <c r="H39" s="1061"/>
      <c r="I39" s="1053"/>
      <c r="J39" s="282">
        <f>X39</f>
        <v>0</v>
      </c>
      <c r="K39" s="299" t="s">
        <v>361</v>
      </c>
      <c r="L39" s="444"/>
      <c r="M39" s="444"/>
      <c r="N39" s="293"/>
      <c r="O39" s="293"/>
      <c r="P39" s="293"/>
      <c r="Q39" s="293"/>
      <c r="R39" s="293"/>
      <c r="S39" s="293"/>
      <c r="T39" s="293"/>
      <c r="U39" s="346">
        <f>E39/12</f>
        <v>0</v>
      </c>
      <c r="V39" s="346">
        <f>U39</f>
        <v>0</v>
      </c>
      <c r="W39" s="346">
        <f>V39</f>
        <v>0</v>
      </c>
      <c r="X39" s="357">
        <f>SUM(P39:W39)</f>
        <v>0</v>
      </c>
      <c r="Y39" s="275"/>
      <c r="Z39" s="275"/>
      <c r="AA39" s="275"/>
      <c r="AB39" s="275"/>
      <c r="AC39" s="275"/>
      <c r="AD39" s="275"/>
      <c r="AE39" s="275"/>
      <c r="AF39" s="275"/>
    </row>
    <row r="40" spans="1:32" ht="38.25" customHeight="1">
      <c r="A40" s="308"/>
      <c r="B40" s="829"/>
      <c r="C40" s="1058"/>
      <c r="D40" s="1060"/>
      <c r="E40" s="306"/>
      <c r="F40" s="1061"/>
      <c r="G40" s="1061"/>
      <c r="H40" s="1061"/>
      <c r="I40" s="1062"/>
      <c r="J40" s="286"/>
      <c r="K40" s="280" t="s">
        <v>362</v>
      </c>
      <c r="L40" s="292"/>
      <c r="M40" s="292"/>
      <c r="N40" s="442"/>
      <c r="O40" s="442"/>
      <c r="P40" s="442"/>
      <c r="Q40" s="442"/>
      <c r="R40" s="442"/>
      <c r="S40" s="442"/>
      <c r="T40" s="442"/>
      <c r="U40" s="393"/>
      <c r="V40" s="393"/>
      <c r="W40" s="393"/>
      <c r="X40" s="393"/>
      <c r="Y40" s="275"/>
      <c r="Z40" s="275"/>
      <c r="AA40" s="275"/>
      <c r="AB40" s="275"/>
      <c r="AC40" s="275"/>
      <c r="AD40" s="275"/>
      <c r="AE40" s="275"/>
      <c r="AF40" s="275"/>
    </row>
    <row r="41" spans="1:32" ht="24.95" customHeight="1">
      <c r="A41" s="429"/>
      <c r="B41" s="847">
        <v>19</v>
      </c>
      <c r="C41" s="1083" t="s">
        <v>268</v>
      </c>
      <c r="D41" s="1082" t="s">
        <v>424</v>
      </c>
      <c r="E41" s="365">
        <f>590000/100000</f>
        <v>5.9</v>
      </c>
      <c r="F41" s="1061"/>
      <c r="G41" s="1061"/>
      <c r="H41" s="1061"/>
      <c r="I41" s="1053" t="s">
        <v>243</v>
      </c>
      <c r="J41" s="282">
        <f>X41</f>
        <v>2.95</v>
      </c>
      <c r="K41" s="283" t="s">
        <v>361</v>
      </c>
      <c r="L41" s="292"/>
      <c r="M41" s="292"/>
      <c r="N41" s="293"/>
      <c r="O41" s="284">
        <f>E41/12</f>
        <v>0.4916666666666667</v>
      </c>
      <c r="P41" s="284">
        <f>O41</f>
        <v>0.4916666666666667</v>
      </c>
      <c r="Q41" s="284">
        <f t="shared" ref="Q41:W41" si="17">P41</f>
        <v>0.4916666666666667</v>
      </c>
      <c r="R41" s="284">
        <f t="shared" si="17"/>
        <v>0.4916666666666667</v>
      </c>
      <c r="S41" s="284">
        <f t="shared" si="17"/>
        <v>0.4916666666666667</v>
      </c>
      <c r="T41" s="284">
        <f t="shared" si="17"/>
        <v>0.4916666666666667</v>
      </c>
      <c r="U41" s="284">
        <f t="shared" si="17"/>
        <v>0.4916666666666667</v>
      </c>
      <c r="V41" s="284">
        <f t="shared" si="17"/>
        <v>0.4916666666666667</v>
      </c>
      <c r="W41" s="284">
        <f t="shared" si="17"/>
        <v>0.4916666666666667</v>
      </c>
      <c r="X41" s="356">
        <f>SUM(R41:W41)</f>
        <v>2.95</v>
      </c>
      <c r="Y41" s="291"/>
      <c r="Z41" s="275"/>
      <c r="AA41" s="275"/>
      <c r="AB41" s="275"/>
      <c r="AC41" s="275"/>
      <c r="AD41" s="275"/>
      <c r="AE41" s="396"/>
      <c r="AF41" s="396"/>
    </row>
    <row r="42" spans="1:32" ht="24.95" customHeight="1">
      <c r="A42" s="429"/>
      <c r="B42" s="847"/>
      <c r="C42" s="1084"/>
      <c r="D42" s="1082"/>
      <c r="E42" s="285"/>
      <c r="F42" s="1061"/>
      <c r="G42" s="1061"/>
      <c r="H42" s="1061"/>
      <c r="I42" s="1062"/>
      <c r="J42" s="286"/>
      <c r="K42" s="280" t="s">
        <v>362</v>
      </c>
      <c r="L42" s="292"/>
      <c r="M42" s="292"/>
      <c r="N42" s="293"/>
      <c r="O42" s="293"/>
      <c r="P42" s="293"/>
      <c r="Q42" s="293"/>
      <c r="R42" s="438"/>
      <c r="S42" s="438"/>
      <c r="T42" s="438"/>
      <c r="U42" s="347"/>
      <c r="V42" s="347"/>
      <c r="W42" s="347"/>
      <c r="X42" s="344"/>
      <c r="Y42" s="275"/>
      <c r="Z42" s="275"/>
      <c r="AA42" s="275"/>
      <c r="AB42" s="275"/>
      <c r="AC42" s="275"/>
      <c r="AD42" s="275"/>
      <c r="AE42" s="396"/>
      <c r="AF42" s="396"/>
    </row>
    <row r="43" spans="1:32" ht="24.95" customHeight="1">
      <c r="A43" s="429"/>
      <c r="B43" s="847">
        <v>20</v>
      </c>
      <c r="C43" s="1077" t="s">
        <v>269</v>
      </c>
      <c r="D43" s="1082"/>
      <c r="E43" s="365">
        <f>2150000/100000</f>
        <v>21.5</v>
      </c>
      <c r="F43" s="1061"/>
      <c r="G43" s="1061"/>
      <c r="H43" s="1061"/>
      <c r="I43" s="1053" t="s">
        <v>249</v>
      </c>
      <c r="J43" s="282">
        <f>X43</f>
        <v>10.75</v>
      </c>
      <c r="K43" s="283" t="s">
        <v>361</v>
      </c>
      <c r="L43" s="292"/>
      <c r="M43" s="292"/>
      <c r="N43" s="293"/>
      <c r="O43" s="293"/>
      <c r="P43" s="284">
        <f>E43/12</f>
        <v>1.7916666666666667</v>
      </c>
      <c r="Q43" s="284">
        <f>P43</f>
        <v>1.7916666666666667</v>
      </c>
      <c r="R43" s="284">
        <f t="shared" ref="R43:W43" si="18">Q43</f>
        <v>1.7916666666666667</v>
      </c>
      <c r="S43" s="284">
        <f t="shared" si="18"/>
        <v>1.7916666666666667</v>
      </c>
      <c r="T43" s="284">
        <f t="shared" si="18"/>
        <v>1.7916666666666667</v>
      </c>
      <c r="U43" s="284">
        <f t="shared" si="18"/>
        <v>1.7916666666666667</v>
      </c>
      <c r="V43" s="284">
        <f t="shared" si="18"/>
        <v>1.7916666666666667</v>
      </c>
      <c r="W43" s="284">
        <f t="shared" si="18"/>
        <v>1.7916666666666667</v>
      </c>
      <c r="X43" s="356">
        <f>SUM(R43:W43)</f>
        <v>10.75</v>
      </c>
      <c r="Y43" s="275"/>
      <c r="Z43" s="275"/>
      <c r="AA43" s="275"/>
      <c r="AB43" s="275"/>
      <c r="AC43" s="275"/>
      <c r="AD43" s="275"/>
      <c r="AE43" s="275"/>
      <c r="AF43" s="275"/>
    </row>
    <row r="44" spans="1:32" ht="24.95" customHeight="1" thickBot="1">
      <c r="A44" s="429"/>
      <c r="B44" s="847"/>
      <c r="C44" s="1081"/>
      <c r="D44" s="1082"/>
      <c r="E44" s="294"/>
      <c r="F44" s="1061"/>
      <c r="G44" s="1061"/>
      <c r="H44" s="1061"/>
      <c r="I44" s="1062"/>
      <c r="J44" s="286"/>
      <c r="K44" s="295" t="s">
        <v>362</v>
      </c>
      <c r="L44" s="292"/>
      <c r="M44" s="292"/>
      <c r="N44" s="284"/>
      <c r="O44" s="284"/>
      <c r="P44" s="293"/>
      <c r="Q44" s="284"/>
      <c r="R44" s="293"/>
      <c r="S44" s="293"/>
      <c r="T44" s="293"/>
      <c r="U44" s="293"/>
      <c r="V44" s="293"/>
      <c r="W44" s="293"/>
      <c r="X44" s="344"/>
      <c r="Y44" s="275"/>
      <c r="Z44" s="275"/>
      <c r="AA44" s="296"/>
      <c r="AB44" s="275"/>
      <c r="AC44" s="275"/>
      <c r="AD44" s="275"/>
      <c r="AE44" s="275"/>
      <c r="AF44" s="275"/>
    </row>
    <row r="45" spans="1:32" ht="24.95" customHeight="1">
      <c r="A45" s="429"/>
      <c r="B45" s="828">
        <v>21</v>
      </c>
      <c r="C45" s="1077" t="s">
        <v>288</v>
      </c>
      <c r="D45" s="890" t="s">
        <v>425</v>
      </c>
      <c r="E45" s="365">
        <f>330000/100000</f>
        <v>3.3</v>
      </c>
      <c r="F45" s="836"/>
      <c r="G45" s="836"/>
      <c r="H45" s="836"/>
      <c r="I45" s="1079" t="s">
        <v>246</v>
      </c>
      <c r="J45" s="298">
        <f>X45</f>
        <v>2.4749999999999996</v>
      </c>
      <c r="K45" s="299" t="s">
        <v>361</v>
      </c>
      <c r="L45" s="292"/>
      <c r="M45" s="292"/>
      <c r="N45" s="284"/>
      <c r="O45" s="284">
        <f>E45/12</f>
        <v>0.27499999999999997</v>
      </c>
      <c r="P45" s="284">
        <f t="shared" ref="P45:W45" si="19">O45</f>
        <v>0.27499999999999997</v>
      </c>
      <c r="Q45" s="284">
        <f t="shared" si="19"/>
        <v>0.27499999999999997</v>
      </c>
      <c r="R45" s="284">
        <f t="shared" si="19"/>
        <v>0.27499999999999997</v>
      </c>
      <c r="S45" s="284">
        <f t="shared" si="19"/>
        <v>0.27499999999999997</v>
      </c>
      <c r="T45" s="284">
        <f t="shared" si="19"/>
        <v>0.27499999999999997</v>
      </c>
      <c r="U45" s="284">
        <f t="shared" si="19"/>
        <v>0.27499999999999997</v>
      </c>
      <c r="V45" s="284">
        <f t="shared" si="19"/>
        <v>0.27499999999999997</v>
      </c>
      <c r="W45" s="284">
        <f t="shared" si="19"/>
        <v>0.27499999999999997</v>
      </c>
      <c r="X45" s="356">
        <f>SUM(N45:W45)</f>
        <v>2.4749999999999996</v>
      </c>
      <c r="Y45" s="275"/>
      <c r="Z45" s="291"/>
      <c r="AA45" s="296"/>
      <c r="AB45" s="275"/>
      <c r="AC45" s="275"/>
      <c r="AD45" s="275"/>
      <c r="AE45" s="275"/>
      <c r="AF45" s="275"/>
    </row>
    <row r="46" spans="1:32" ht="24.95" customHeight="1">
      <c r="A46" s="429"/>
      <c r="B46" s="829"/>
      <c r="C46" s="1078"/>
      <c r="D46" s="890"/>
      <c r="E46" s="300"/>
      <c r="F46" s="836"/>
      <c r="G46" s="836"/>
      <c r="H46" s="836"/>
      <c r="I46" s="1080"/>
      <c r="J46" s="301"/>
      <c r="K46" s="280" t="s">
        <v>362</v>
      </c>
      <c r="L46" s="292"/>
      <c r="M46" s="292"/>
      <c r="N46" s="438"/>
      <c r="O46" s="438"/>
      <c r="P46" s="438"/>
      <c r="Q46" s="438"/>
      <c r="R46" s="438"/>
      <c r="S46" s="438"/>
      <c r="T46" s="438"/>
      <c r="U46" s="347"/>
      <c r="V46" s="347"/>
      <c r="W46" s="347"/>
      <c r="X46" s="344"/>
      <c r="Y46" s="275"/>
      <c r="Z46" s="275"/>
      <c r="AA46" s="275"/>
      <c r="AB46" s="275"/>
      <c r="AC46" s="275"/>
      <c r="AD46" s="275"/>
      <c r="AE46" s="275"/>
      <c r="AF46" s="275"/>
    </row>
    <row r="47" spans="1:32" ht="24.95" customHeight="1">
      <c r="A47" s="429"/>
      <c r="B47" s="847">
        <v>22</v>
      </c>
      <c r="C47" s="848" t="s">
        <v>251</v>
      </c>
      <c r="D47" s="890" t="s">
        <v>325</v>
      </c>
      <c r="E47" s="365">
        <f>400000/100000</f>
        <v>4</v>
      </c>
      <c r="F47" s="836"/>
      <c r="G47" s="836"/>
      <c r="H47" s="836"/>
      <c r="I47" s="1072" t="s">
        <v>249</v>
      </c>
      <c r="J47" s="298">
        <f>X47</f>
        <v>2.6666666666666665</v>
      </c>
      <c r="K47" s="302" t="s">
        <v>361</v>
      </c>
      <c r="L47" s="292"/>
      <c r="M47" s="292"/>
      <c r="N47" s="284"/>
      <c r="O47" s="284"/>
      <c r="P47" s="284">
        <f>E47/12</f>
        <v>0.33333333333333331</v>
      </c>
      <c r="Q47" s="284">
        <f t="shared" ref="Q47:W47" si="20">P47</f>
        <v>0.33333333333333331</v>
      </c>
      <c r="R47" s="284">
        <f t="shared" si="20"/>
        <v>0.33333333333333331</v>
      </c>
      <c r="S47" s="284">
        <f t="shared" si="20"/>
        <v>0.33333333333333331</v>
      </c>
      <c r="T47" s="284">
        <f t="shared" si="20"/>
        <v>0.33333333333333331</v>
      </c>
      <c r="U47" s="284">
        <f t="shared" si="20"/>
        <v>0.33333333333333331</v>
      </c>
      <c r="V47" s="284">
        <f t="shared" si="20"/>
        <v>0.33333333333333331</v>
      </c>
      <c r="W47" s="284">
        <f t="shared" si="20"/>
        <v>0.33333333333333331</v>
      </c>
      <c r="X47" s="357">
        <f>SUM(N47:W47)</f>
        <v>2.6666666666666665</v>
      </c>
      <c r="Y47" s="275"/>
      <c r="Z47" s="291"/>
      <c r="AA47" s="296"/>
      <c r="AB47" s="1067"/>
      <c r="AC47" s="1067"/>
      <c r="AD47" s="275"/>
      <c r="AE47" s="275"/>
      <c r="AF47" s="275"/>
    </row>
    <row r="48" spans="1:32" ht="24.95" customHeight="1">
      <c r="A48" s="429"/>
      <c r="B48" s="847"/>
      <c r="C48" s="848"/>
      <c r="D48" s="890"/>
      <c r="E48" s="303"/>
      <c r="F48" s="836"/>
      <c r="G48" s="836"/>
      <c r="H48" s="836"/>
      <c r="I48" s="886"/>
      <c r="J48" s="301"/>
      <c r="K48" s="280" t="s">
        <v>362</v>
      </c>
      <c r="L48" s="439"/>
      <c r="M48" s="439"/>
      <c r="N48" s="351"/>
      <c r="O48" s="351"/>
      <c r="P48" s="351"/>
      <c r="Q48" s="351"/>
      <c r="R48" s="351"/>
      <c r="S48" s="351"/>
      <c r="T48" s="351"/>
      <c r="U48" s="283"/>
      <c r="V48" s="283"/>
      <c r="W48" s="283"/>
      <c r="X48" s="357"/>
      <c r="Y48" s="275"/>
      <c r="Z48" s="275"/>
      <c r="AA48" s="275"/>
      <c r="AB48" s="1067"/>
      <c r="AC48" s="1067"/>
      <c r="AD48" s="275"/>
      <c r="AE48" s="275"/>
      <c r="AF48" s="275"/>
    </row>
    <row r="49" spans="1:32" ht="24.95" customHeight="1">
      <c r="A49" s="429"/>
      <c r="B49" s="847">
        <v>23</v>
      </c>
      <c r="C49" s="845" t="s">
        <v>270</v>
      </c>
      <c r="D49" s="835" t="s">
        <v>334</v>
      </c>
      <c r="E49" s="365">
        <f>140000/100000</f>
        <v>1.4</v>
      </c>
      <c r="F49" s="836"/>
      <c r="G49" s="836"/>
      <c r="H49" s="836"/>
      <c r="I49" s="1072" t="s">
        <v>243</v>
      </c>
      <c r="J49" s="298">
        <f>X49</f>
        <v>0.7</v>
      </c>
      <c r="K49" s="283" t="s">
        <v>361</v>
      </c>
      <c r="L49" s="292"/>
      <c r="M49" s="292"/>
      <c r="N49" s="292"/>
      <c r="O49" s="284">
        <f>E49/12</f>
        <v>0.11666666666666665</v>
      </c>
      <c r="P49" s="284">
        <f t="shared" ref="P49:W49" si="21">O49</f>
        <v>0.11666666666666665</v>
      </c>
      <c r="Q49" s="284">
        <f t="shared" si="21"/>
        <v>0.11666666666666665</v>
      </c>
      <c r="R49" s="284">
        <f t="shared" si="21"/>
        <v>0.11666666666666665</v>
      </c>
      <c r="S49" s="284">
        <f t="shared" si="21"/>
        <v>0.11666666666666665</v>
      </c>
      <c r="T49" s="284">
        <f t="shared" si="21"/>
        <v>0.11666666666666665</v>
      </c>
      <c r="U49" s="284">
        <f t="shared" si="21"/>
        <v>0.11666666666666665</v>
      </c>
      <c r="V49" s="284">
        <f t="shared" si="21"/>
        <v>0.11666666666666665</v>
      </c>
      <c r="W49" s="284">
        <f t="shared" si="21"/>
        <v>0.11666666666666665</v>
      </c>
      <c r="X49" s="357">
        <f>SUM(R49:W49)</f>
        <v>0.7</v>
      </c>
      <c r="Y49" s="288"/>
      <c r="Z49" s="291"/>
      <c r="AA49" s="275"/>
      <c r="AB49" s="275"/>
      <c r="AC49" s="296"/>
      <c r="AD49" s="275"/>
      <c r="AE49" s="275"/>
      <c r="AF49" s="275"/>
    </row>
    <row r="50" spans="1:32" ht="34.5" customHeight="1">
      <c r="A50" s="429"/>
      <c r="B50" s="847"/>
      <c r="C50" s="846"/>
      <c r="D50" s="835"/>
      <c r="E50" s="303"/>
      <c r="F50" s="836"/>
      <c r="G50" s="836"/>
      <c r="H50" s="836"/>
      <c r="I50" s="886"/>
      <c r="J50" s="301"/>
      <c r="K50" s="280" t="s">
        <v>362</v>
      </c>
      <c r="L50" s="292"/>
      <c r="M50" s="292"/>
      <c r="N50" s="351"/>
      <c r="O50" s="351"/>
      <c r="P50" s="351"/>
      <c r="Q50" s="351"/>
      <c r="R50" s="297"/>
      <c r="S50" s="297"/>
      <c r="T50" s="297"/>
      <c r="U50" s="280"/>
      <c r="V50" s="280"/>
      <c r="W50" s="280"/>
      <c r="X50" s="358"/>
      <c r="Y50" s="275"/>
      <c r="Z50" s="275"/>
      <c r="AA50" s="275"/>
      <c r="AB50" s="275"/>
      <c r="AC50" s="296"/>
      <c r="AD50" s="275"/>
      <c r="AE50" s="275"/>
      <c r="AF50" s="275"/>
    </row>
    <row r="51" spans="1:32" ht="24.95" customHeight="1">
      <c r="A51" s="429"/>
      <c r="B51" s="828">
        <v>24</v>
      </c>
      <c r="C51" s="1068" t="s">
        <v>271</v>
      </c>
      <c r="D51" s="1070" t="s">
        <v>342</v>
      </c>
      <c r="E51" s="365">
        <f>40000/100000</f>
        <v>0.4</v>
      </c>
      <c r="F51" s="836"/>
      <c r="G51" s="836"/>
      <c r="H51" s="836"/>
      <c r="I51" s="1072" t="s">
        <v>252</v>
      </c>
      <c r="J51" s="298">
        <f>X51</f>
        <v>0.23333333333333331</v>
      </c>
      <c r="K51" s="283" t="s">
        <v>361</v>
      </c>
      <c r="L51" s="292"/>
      <c r="M51" s="292"/>
      <c r="N51" s="293"/>
      <c r="O51" s="293"/>
      <c r="P51" s="293"/>
      <c r="Q51" s="284">
        <f>E51/12</f>
        <v>3.3333333333333333E-2</v>
      </c>
      <c r="R51" s="284">
        <f t="shared" ref="R51:W51" si="22">Q51</f>
        <v>3.3333333333333333E-2</v>
      </c>
      <c r="S51" s="284">
        <f t="shared" si="22"/>
        <v>3.3333333333333333E-2</v>
      </c>
      <c r="T51" s="284">
        <f t="shared" si="22"/>
        <v>3.3333333333333333E-2</v>
      </c>
      <c r="U51" s="284">
        <f t="shared" si="22"/>
        <v>3.3333333333333333E-2</v>
      </c>
      <c r="V51" s="284">
        <f t="shared" si="22"/>
        <v>3.3333333333333333E-2</v>
      </c>
      <c r="W51" s="284">
        <f t="shared" si="22"/>
        <v>3.3333333333333333E-2</v>
      </c>
      <c r="X51" s="359">
        <f>SUM(N51:W51)</f>
        <v>0.23333333333333331</v>
      </c>
      <c r="Y51" s="275"/>
      <c r="Z51" s="275"/>
      <c r="AA51" s="275"/>
      <c r="AB51" s="275"/>
      <c r="AC51" s="275"/>
      <c r="AD51" s="275"/>
      <c r="AE51" s="275"/>
      <c r="AF51" s="275"/>
    </row>
    <row r="52" spans="1:32" ht="24.95" customHeight="1">
      <c r="A52" s="429"/>
      <c r="B52" s="829"/>
      <c r="C52" s="1069"/>
      <c r="D52" s="1071"/>
      <c r="E52" s="303"/>
      <c r="F52" s="836"/>
      <c r="G52" s="836"/>
      <c r="H52" s="836"/>
      <c r="I52" s="886"/>
      <c r="J52" s="301"/>
      <c r="K52" s="280" t="s">
        <v>362</v>
      </c>
      <c r="L52" s="292"/>
      <c r="M52" s="292"/>
      <c r="N52" s="297"/>
      <c r="O52" s="297"/>
      <c r="P52" s="297"/>
      <c r="Q52" s="284"/>
      <c r="R52" s="284"/>
      <c r="S52" s="284"/>
      <c r="T52" s="284"/>
      <c r="U52" s="284"/>
      <c r="V52" s="284"/>
      <c r="W52" s="284"/>
      <c r="X52" s="358">
        <f>SUM(O52:W52)</f>
        <v>0</v>
      </c>
      <c r="Y52" s="275"/>
      <c r="Z52" s="1066"/>
      <c r="AA52" s="275"/>
      <c r="AB52" s="275"/>
      <c r="AC52" s="275"/>
      <c r="AD52" s="1067"/>
      <c r="AE52" s="275"/>
      <c r="AF52" s="275"/>
    </row>
    <row r="53" spans="1:32" ht="24.95" customHeight="1">
      <c r="A53" s="429"/>
      <c r="B53" s="847">
        <v>25</v>
      </c>
      <c r="C53" s="1068" t="s">
        <v>272</v>
      </c>
      <c r="D53" s="1070" t="s">
        <v>423</v>
      </c>
      <c r="E53" s="365">
        <f>100000/100000</f>
        <v>1</v>
      </c>
      <c r="F53" s="836"/>
      <c r="G53" s="836"/>
      <c r="H53" s="836"/>
      <c r="I53" s="1072" t="s">
        <v>252</v>
      </c>
      <c r="J53" s="298">
        <f>X53</f>
        <v>0.58333333333333326</v>
      </c>
      <c r="K53" s="283" t="s">
        <v>361</v>
      </c>
      <c r="L53" s="292"/>
      <c r="M53" s="292"/>
      <c r="N53" s="293"/>
      <c r="O53" s="293"/>
      <c r="P53" s="293"/>
      <c r="Q53" s="284">
        <f>E53/12</f>
        <v>8.3333333333333329E-2</v>
      </c>
      <c r="R53" s="284">
        <f t="shared" ref="R53:W53" si="23">Q53</f>
        <v>8.3333333333333329E-2</v>
      </c>
      <c r="S53" s="284">
        <f t="shared" si="23"/>
        <v>8.3333333333333329E-2</v>
      </c>
      <c r="T53" s="284">
        <f t="shared" si="23"/>
        <v>8.3333333333333329E-2</v>
      </c>
      <c r="U53" s="284">
        <f t="shared" si="23"/>
        <v>8.3333333333333329E-2</v>
      </c>
      <c r="V53" s="284">
        <f t="shared" si="23"/>
        <v>8.3333333333333329E-2</v>
      </c>
      <c r="W53" s="284">
        <f t="shared" si="23"/>
        <v>8.3333333333333329E-2</v>
      </c>
      <c r="X53" s="357">
        <f>SUM(N53:W53)</f>
        <v>0.58333333333333326</v>
      </c>
      <c r="Y53" s="275"/>
      <c r="Z53" s="1066"/>
      <c r="AA53" s="275"/>
      <c r="AB53" s="275"/>
      <c r="AC53" s="296"/>
      <c r="AD53" s="1067"/>
      <c r="AE53" s="275"/>
      <c r="AF53" s="275"/>
    </row>
    <row r="54" spans="1:32" ht="24.95" customHeight="1">
      <c r="A54" s="429"/>
      <c r="B54" s="847"/>
      <c r="C54" s="1069"/>
      <c r="D54" s="1071"/>
      <c r="E54" s="303"/>
      <c r="F54" s="836"/>
      <c r="G54" s="836"/>
      <c r="H54" s="836"/>
      <c r="I54" s="886"/>
      <c r="J54" s="301"/>
      <c r="K54" s="289" t="s">
        <v>362</v>
      </c>
      <c r="L54" s="292"/>
      <c r="M54" s="292"/>
      <c r="N54" s="284"/>
      <c r="O54" s="284"/>
      <c r="P54" s="284"/>
      <c r="Q54" s="440"/>
      <c r="R54" s="440"/>
      <c r="S54" s="440"/>
      <c r="T54" s="440"/>
      <c r="U54" s="348"/>
      <c r="V54" s="348"/>
      <c r="W54" s="348"/>
      <c r="X54" s="357"/>
      <c r="Y54" s="275"/>
      <c r="Z54" s="1066"/>
      <c r="AA54" s="275"/>
      <c r="AB54" s="275"/>
      <c r="AC54" s="275"/>
      <c r="AD54" s="1067"/>
      <c r="AE54" s="275"/>
      <c r="AF54" s="275"/>
    </row>
    <row r="55" spans="1:32" ht="24.95" customHeight="1">
      <c r="A55" s="429"/>
      <c r="B55" s="847">
        <v>26</v>
      </c>
      <c r="C55" s="1073" t="s">
        <v>294</v>
      </c>
      <c r="D55" s="1075" t="s">
        <v>423</v>
      </c>
      <c r="E55" s="365">
        <f>120000/100000</f>
        <v>1.2</v>
      </c>
      <c r="F55" s="1061"/>
      <c r="G55" s="1061"/>
      <c r="H55" s="1061"/>
      <c r="I55" s="1053" t="s">
        <v>252</v>
      </c>
      <c r="J55" s="282">
        <f>X55</f>
        <v>0.6</v>
      </c>
      <c r="K55" s="283" t="s">
        <v>361</v>
      </c>
      <c r="L55" s="292"/>
      <c r="M55" s="292"/>
      <c r="N55" s="293"/>
      <c r="O55" s="293"/>
      <c r="P55" s="293"/>
      <c r="Q55" s="346">
        <f>E55/12</f>
        <v>9.9999999999999992E-2</v>
      </c>
      <c r="R55" s="346">
        <f t="shared" ref="R55:W55" si="24">Q55</f>
        <v>9.9999999999999992E-2</v>
      </c>
      <c r="S55" s="346">
        <f t="shared" si="24"/>
        <v>9.9999999999999992E-2</v>
      </c>
      <c r="T55" s="346">
        <f t="shared" si="24"/>
        <v>9.9999999999999992E-2</v>
      </c>
      <c r="U55" s="346">
        <f t="shared" si="24"/>
        <v>9.9999999999999992E-2</v>
      </c>
      <c r="V55" s="346">
        <f t="shared" si="24"/>
        <v>9.9999999999999992E-2</v>
      </c>
      <c r="W55" s="346">
        <f t="shared" si="24"/>
        <v>9.9999999999999992E-2</v>
      </c>
      <c r="X55" s="357">
        <f>SUM(R55:W55)</f>
        <v>0.6</v>
      </c>
      <c r="Y55" s="275"/>
      <c r="Z55" s="275"/>
      <c r="AA55" s="275"/>
      <c r="AB55" s="275"/>
      <c r="AC55" s="275"/>
      <c r="AD55" s="1067"/>
      <c r="AE55" s="275"/>
      <c r="AF55" s="275"/>
    </row>
    <row r="56" spans="1:32" ht="24.95" customHeight="1">
      <c r="A56" s="429"/>
      <c r="B56" s="847"/>
      <c r="C56" s="1074"/>
      <c r="D56" s="1076"/>
      <c r="E56" s="285"/>
      <c r="F56" s="1061"/>
      <c r="G56" s="1061"/>
      <c r="H56" s="1061"/>
      <c r="I56" s="1062"/>
      <c r="J56" s="286"/>
      <c r="K56" s="280" t="s">
        <v>362</v>
      </c>
      <c r="L56" s="441"/>
      <c r="M56" s="441"/>
      <c r="N56" s="284"/>
      <c r="O56" s="284"/>
      <c r="P56" s="284"/>
      <c r="Q56" s="284"/>
      <c r="R56" s="297"/>
      <c r="S56" s="297"/>
      <c r="T56" s="297"/>
      <c r="U56" s="280"/>
      <c r="V56" s="280"/>
      <c r="W56" s="280"/>
      <c r="X56" s="358"/>
      <c r="Y56" s="275"/>
      <c r="Z56" s="275"/>
      <c r="AA56" s="275"/>
      <c r="AB56" s="275"/>
      <c r="AC56" s="275"/>
      <c r="AD56" s="1067"/>
      <c r="AE56" s="275"/>
      <c r="AF56" s="275"/>
    </row>
    <row r="57" spans="1:32" ht="24.95" customHeight="1">
      <c r="A57" s="429"/>
      <c r="B57" s="828">
        <v>27</v>
      </c>
      <c r="C57" s="1068" t="s">
        <v>293</v>
      </c>
      <c r="D57" s="1070" t="s">
        <v>342</v>
      </c>
      <c r="E57" s="365">
        <f>20000/100000</f>
        <v>0.2</v>
      </c>
      <c r="F57" s="836"/>
      <c r="G57" s="836"/>
      <c r="H57" s="836"/>
      <c r="I57" s="885" t="s">
        <v>249</v>
      </c>
      <c r="J57" s="298">
        <f>X57</f>
        <v>9.9999999999999992E-2</v>
      </c>
      <c r="K57" s="351" t="s">
        <v>361</v>
      </c>
      <c r="L57" s="353"/>
      <c r="M57" s="353"/>
      <c r="N57" s="284"/>
      <c r="O57" s="284"/>
      <c r="P57" s="284">
        <f>E57/12</f>
        <v>1.6666666666666666E-2</v>
      </c>
      <c r="Q57" s="284">
        <f t="shared" ref="Q57:W57" si="25">P57</f>
        <v>1.6666666666666666E-2</v>
      </c>
      <c r="R57" s="284">
        <f t="shared" si="25"/>
        <v>1.6666666666666666E-2</v>
      </c>
      <c r="S57" s="284">
        <f t="shared" si="25"/>
        <v>1.6666666666666666E-2</v>
      </c>
      <c r="T57" s="284">
        <f t="shared" si="25"/>
        <v>1.6666666666666666E-2</v>
      </c>
      <c r="U57" s="346">
        <f t="shared" si="25"/>
        <v>1.6666666666666666E-2</v>
      </c>
      <c r="V57" s="346">
        <f t="shared" si="25"/>
        <v>1.6666666666666666E-2</v>
      </c>
      <c r="W57" s="346">
        <f t="shared" si="25"/>
        <v>1.6666666666666666E-2</v>
      </c>
      <c r="X57" s="357">
        <f>SUM(R57:W57)</f>
        <v>9.9999999999999992E-2</v>
      </c>
      <c r="Y57" s="275"/>
      <c r="Z57" s="275"/>
      <c r="AA57" s="275"/>
      <c r="AB57" s="275"/>
      <c r="AC57" s="275"/>
      <c r="AD57" s="1067"/>
      <c r="AE57" s="275"/>
      <c r="AF57" s="275"/>
    </row>
    <row r="58" spans="1:32" ht="24.95" customHeight="1">
      <c r="A58" s="429"/>
      <c r="B58" s="829"/>
      <c r="C58" s="1069"/>
      <c r="D58" s="1071"/>
      <c r="E58" s="303"/>
      <c r="F58" s="836"/>
      <c r="G58" s="836"/>
      <c r="H58" s="836"/>
      <c r="I58" s="886"/>
      <c r="J58" s="352">
        <f>X58</f>
        <v>0</v>
      </c>
      <c r="K58" s="297" t="s">
        <v>362</v>
      </c>
      <c r="L58" s="355"/>
      <c r="M58" s="355"/>
      <c r="N58" s="354"/>
      <c r="O58" s="354"/>
      <c r="P58" s="293"/>
      <c r="Q58" s="293"/>
      <c r="R58" s="293"/>
      <c r="S58" s="293"/>
      <c r="T58" s="293"/>
      <c r="U58" s="354"/>
      <c r="V58" s="354"/>
      <c r="W58" s="354"/>
      <c r="X58" s="360">
        <f>SUM(N58:W58)</f>
        <v>0</v>
      </c>
      <c r="Y58" s="275"/>
      <c r="Z58" s="275"/>
      <c r="AA58" s="275"/>
      <c r="AB58" s="275"/>
      <c r="AC58" s="275"/>
      <c r="AD58" s="275"/>
      <c r="AE58" s="275"/>
      <c r="AF58" s="275"/>
    </row>
    <row r="59" spans="1:32" ht="24.95" customHeight="1">
      <c r="A59" s="429"/>
      <c r="B59" s="847">
        <v>28</v>
      </c>
      <c r="C59" s="863" t="s">
        <v>276</v>
      </c>
      <c r="D59" s="1065" t="s">
        <v>339</v>
      </c>
      <c r="E59" s="370">
        <f>845994/100000</f>
        <v>8.4599399999999996</v>
      </c>
      <c r="F59" s="1061"/>
      <c r="G59" s="1061"/>
      <c r="H59" s="1061"/>
      <c r="I59" s="1053" t="s">
        <v>249</v>
      </c>
      <c r="J59" s="282">
        <f>X59</f>
        <v>4.2299699999999998</v>
      </c>
      <c r="K59" s="299" t="s">
        <v>361</v>
      </c>
      <c r="L59" s="292"/>
      <c r="M59" s="292"/>
      <c r="N59" s="284"/>
      <c r="O59" s="284"/>
      <c r="P59" s="284">
        <f>E59/12</f>
        <v>0.70499499999999993</v>
      </c>
      <c r="Q59" s="284">
        <f t="shared" ref="Q59:W59" si="26">P59</f>
        <v>0.70499499999999993</v>
      </c>
      <c r="R59" s="284">
        <f t="shared" si="26"/>
        <v>0.70499499999999993</v>
      </c>
      <c r="S59" s="284">
        <f t="shared" si="26"/>
        <v>0.70499499999999993</v>
      </c>
      <c r="T59" s="284">
        <f t="shared" si="26"/>
        <v>0.70499499999999993</v>
      </c>
      <c r="U59" s="346">
        <f t="shared" si="26"/>
        <v>0.70499499999999993</v>
      </c>
      <c r="V59" s="346">
        <f t="shared" si="26"/>
        <v>0.70499499999999993</v>
      </c>
      <c r="W59" s="346">
        <f t="shared" si="26"/>
        <v>0.70499499999999993</v>
      </c>
      <c r="X59" s="357">
        <f>SUM(R59:W59)</f>
        <v>4.2299699999999998</v>
      </c>
      <c r="Y59" s="275"/>
      <c r="Z59" s="275"/>
      <c r="AA59" s="275"/>
      <c r="AB59" s="275"/>
      <c r="AC59" s="275"/>
      <c r="AD59" s="275"/>
      <c r="AE59" s="275"/>
      <c r="AF59" s="275"/>
    </row>
    <row r="60" spans="1:32" ht="24.75" customHeight="1">
      <c r="A60" s="429"/>
      <c r="B60" s="847"/>
      <c r="C60" s="864"/>
      <c r="D60" s="1065"/>
      <c r="E60" s="306"/>
      <c r="F60" s="1061"/>
      <c r="G60" s="1061"/>
      <c r="H60" s="1061"/>
      <c r="I60" s="1054"/>
      <c r="J60" s="286"/>
      <c r="K60" s="280" t="s">
        <v>362</v>
      </c>
      <c r="L60" s="292"/>
      <c r="M60" s="292"/>
      <c r="N60" s="442"/>
      <c r="O60" s="442"/>
      <c r="P60" s="442"/>
      <c r="Q60" s="442"/>
      <c r="R60" s="442"/>
      <c r="S60" s="442"/>
      <c r="T60" s="442"/>
      <c r="U60" s="393"/>
      <c r="V60" s="393"/>
      <c r="W60" s="393"/>
      <c r="X60" s="337"/>
      <c r="Y60" s="275"/>
      <c r="Z60" s="275"/>
      <c r="AA60" s="275"/>
      <c r="AB60" s="275"/>
      <c r="AC60" s="275"/>
      <c r="AD60" s="275"/>
      <c r="AE60" s="275"/>
      <c r="AF60" s="275"/>
    </row>
    <row r="61" spans="1:32" ht="24.95" customHeight="1">
      <c r="A61" s="308"/>
      <c r="B61" s="847">
        <v>29</v>
      </c>
      <c r="C61" s="863" t="s">
        <v>277</v>
      </c>
      <c r="D61" s="1065" t="s">
        <v>341</v>
      </c>
      <c r="E61" s="370">
        <f>879133/100000</f>
        <v>8.7913300000000003</v>
      </c>
      <c r="F61" s="1061"/>
      <c r="G61" s="1061"/>
      <c r="H61" s="1061"/>
      <c r="I61" s="1053" t="s">
        <v>249</v>
      </c>
      <c r="J61" s="282">
        <f>X61</f>
        <v>4.3956650000000002</v>
      </c>
      <c r="K61" s="299" t="s">
        <v>361</v>
      </c>
      <c r="L61" s="292"/>
      <c r="M61" s="292"/>
      <c r="N61" s="293"/>
      <c r="O61" s="293"/>
      <c r="P61" s="284">
        <f>E61/12</f>
        <v>0.73261083333333332</v>
      </c>
      <c r="Q61" s="284">
        <f>P61</f>
        <v>0.73261083333333332</v>
      </c>
      <c r="R61" s="284">
        <f t="shared" ref="R61:W61" si="27">Q61</f>
        <v>0.73261083333333332</v>
      </c>
      <c r="S61" s="284">
        <f t="shared" si="27"/>
        <v>0.73261083333333332</v>
      </c>
      <c r="T61" s="284">
        <f t="shared" si="27"/>
        <v>0.73261083333333332</v>
      </c>
      <c r="U61" s="284">
        <f t="shared" si="27"/>
        <v>0.73261083333333332</v>
      </c>
      <c r="V61" s="284">
        <f t="shared" si="27"/>
        <v>0.73261083333333332</v>
      </c>
      <c r="W61" s="284">
        <f t="shared" si="27"/>
        <v>0.73261083333333332</v>
      </c>
      <c r="X61" s="357">
        <f>SUM(R61:W61)</f>
        <v>4.3956650000000002</v>
      </c>
      <c r="Y61" s="275"/>
      <c r="Z61" s="275"/>
      <c r="AA61" s="275"/>
      <c r="AB61" s="275"/>
      <c r="AC61" s="275"/>
      <c r="AD61" s="275"/>
      <c r="AE61" s="275"/>
      <c r="AF61" s="275"/>
    </row>
    <row r="62" spans="1:32" ht="26.25" customHeight="1">
      <c r="A62" s="308"/>
      <c r="B62" s="847"/>
      <c r="C62" s="864"/>
      <c r="D62" s="1065"/>
      <c r="E62" s="306"/>
      <c r="F62" s="1061"/>
      <c r="G62" s="1061"/>
      <c r="H62" s="1061"/>
      <c r="I62" s="1054"/>
      <c r="J62" s="286"/>
      <c r="K62" s="280" t="s">
        <v>362</v>
      </c>
      <c r="L62" s="292"/>
      <c r="M62" s="292"/>
      <c r="N62" s="442"/>
      <c r="O62" s="442"/>
      <c r="P62" s="442"/>
      <c r="Q62" s="442"/>
      <c r="R62" s="442"/>
      <c r="S62" s="442"/>
      <c r="T62" s="442"/>
      <c r="U62" s="393"/>
      <c r="V62" s="393"/>
      <c r="W62" s="393"/>
      <c r="X62" s="337"/>
      <c r="Y62" s="275"/>
      <c r="Z62" s="275"/>
      <c r="AA62" s="275"/>
      <c r="AB62" s="275"/>
      <c r="AC62" s="275"/>
      <c r="AD62" s="275"/>
      <c r="AE62" s="275"/>
      <c r="AF62" s="275"/>
    </row>
    <row r="63" spans="1:32" ht="26.25" customHeight="1">
      <c r="A63" s="308"/>
      <c r="B63" s="828">
        <v>30</v>
      </c>
      <c r="C63" s="1063" t="s">
        <v>278</v>
      </c>
      <c r="D63" s="1059" t="s">
        <v>342</v>
      </c>
      <c r="E63" s="370">
        <f>35886/100000</f>
        <v>0.35886000000000001</v>
      </c>
      <c r="F63" s="1061"/>
      <c r="G63" s="1061"/>
      <c r="H63" s="1061"/>
      <c r="I63" s="1053" t="s">
        <v>249</v>
      </c>
      <c r="J63" s="282">
        <f>X63</f>
        <v>0.23924000000000006</v>
      </c>
      <c r="K63" s="299" t="s">
        <v>361</v>
      </c>
      <c r="L63" s="292"/>
      <c r="M63" s="292"/>
      <c r="N63" s="284"/>
      <c r="O63" s="284"/>
      <c r="P63" s="284">
        <f>E63/12</f>
        <v>2.9905000000000001E-2</v>
      </c>
      <c r="Q63" s="284">
        <f>P63</f>
        <v>2.9905000000000001E-2</v>
      </c>
      <c r="R63" s="284">
        <f>Q63</f>
        <v>2.9905000000000001E-2</v>
      </c>
      <c r="S63" s="284">
        <f>R63</f>
        <v>2.9905000000000001E-2</v>
      </c>
      <c r="T63" s="284">
        <f>S63</f>
        <v>2.9905000000000001E-2</v>
      </c>
      <c r="U63" s="346">
        <f>E63/12</f>
        <v>2.9905000000000001E-2</v>
      </c>
      <c r="V63" s="346">
        <f>U63</f>
        <v>2.9905000000000001E-2</v>
      </c>
      <c r="W63" s="346">
        <f>V63</f>
        <v>2.9905000000000001E-2</v>
      </c>
      <c r="X63" s="357">
        <f>SUM(O63:W63)</f>
        <v>0.23924000000000006</v>
      </c>
      <c r="Y63" s="275"/>
      <c r="Z63" s="275"/>
      <c r="AA63" s="275"/>
      <c r="AB63" s="275"/>
      <c r="AC63" s="275"/>
      <c r="AD63" s="275"/>
      <c r="AE63" s="275"/>
      <c r="AF63" s="275"/>
    </row>
    <row r="64" spans="1:32" ht="26.25" customHeight="1">
      <c r="A64" s="308"/>
      <c r="B64" s="829"/>
      <c r="C64" s="1064"/>
      <c r="D64" s="1060"/>
      <c r="E64" s="306"/>
      <c r="F64" s="1061"/>
      <c r="G64" s="1061"/>
      <c r="H64" s="1061"/>
      <c r="I64" s="1054"/>
      <c r="J64" s="286"/>
      <c r="K64" s="280" t="s">
        <v>362</v>
      </c>
      <c r="L64" s="292"/>
      <c r="M64" s="292"/>
      <c r="N64" s="443"/>
      <c r="O64" s="442"/>
      <c r="P64" s="442"/>
      <c r="Q64" s="442"/>
      <c r="R64" s="442"/>
      <c r="S64" s="442"/>
      <c r="T64" s="442"/>
      <c r="U64" s="393"/>
      <c r="V64" s="393"/>
      <c r="W64" s="393"/>
      <c r="X64" s="337"/>
      <c r="Y64" s="275"/>
      <c r="Z64" s="275"/>
      <c r="AA64" s="275"/>
      <c r="AB64" s="275"/>
      <c r="AC64" s="275"/>
      <c r="AD64" s="275"/>
      <c r="AE64" s="275"/>
      <c r="AF64" s="275"/>
    </row>
    <row r="65" spans="1:32" ht="26.25" customHeight="1">
      <c r="A65" s="308"/>
      <c r="B65" s="847">
        <v>31</v>
      </c>
      <c r="C65" s="863" t="s">
        <v>279</v>
      </c>
      <c r="D65" s="1059" t="s">
        <v>334</v>
      </c>
      <c r="E65" s="370">
        <f>735559/100000</f>
        <v>7.3555900000000003</v>
      </c>
      <c r="F65" s="1061"/>
      <c r="G65" s="1061"/>
      <c r="H65" s="1061"/>
      <c r="I65" s="1053" t="s">
        <v>249</v>
      </c>
      <c r="J65" s="282">
        <f>X65</f>
        <v>4.9037266666666666</v>
      </c>
      <c r="K65" s="299" t="s">
        <v>361</v>
      </c>
      <c r="L65" s="444"/>
      <c r="M65" s="444"/>
      <c r="N65" s="284"/>
      <c r="O65" s="284"/>
      <c r="P65" s="284">
        <f>E65/12</f>
        <v>0.61296583333333332</v>
      </c>
      <c r="Q65" s="284">
        <f t="shared" ref="Q65:W65" si="28">P65</f>
        <v>0.61296583333333332</v>
      </c>
      <c r="R65" s="284">
        <f t="shared" si="28"/>
        <v>0.61296583333333332</v>
      </c>
      <c r="S65" s="284">
        <f t="shared" si="28"/>
        <v>0.61296583333333332</v>
      </c>
      <c r="T65" s="284">
        <f t="shared" si="28"/>
        <v>0.61296583333333332</v>
      </c>
      <c r="U65" s="346">
        <f t="shared" si="28"/>
        <v>0.61296583333333332</v>
      </c>
      <c r="V65" s="346">
        <f t="shared" si="28"/>
        <v>0.61296583333333332</v>
      </c>
      <c r="W65" s="346">
        <f t="shared" si="28"/>
        <v>0.61296583333333332</v>
      </c>
      <c r="X65" s="357">
        <f>SUM(P65:W65)</f>
        <v>4.9037266666666666</v>
      </c>
      <c r="Y65" s="275"/>
      <c r="Z65" s="275"/>
      <c r="AA65" s="275"/>
      <c r="AB65" s="275"/>
      <c r="AC65" s="275"/>
      <c r="AD65" s="275"/>
      <c r="AE65" s="275"/>
      <c r="AF65" s="275"/>
    </row>
    <row r="66" spans="1:32" ht="33" customHeight="1">
      <c r="A66" s="308"/>
      <c r="B66" s="847"/>
      <c r="C66" s="864"/>
      <c r="D66" s="1060"/>
      <c r="E66" s="306"/>
      <c r="F66" s="1061"/>
      <c r="G66" s="1061"/>
      <c r="H66" s="1061"/>
      <c r="I66" s="1054"/>
      <c r="J66" s="286"/>
      <c r="K66" s="280" t="s">
        <v>362</v>
      </c>
      <c r="L66" s="292"/>
      <c r="M66" s="292"/>
      <c r="N66" s="442"/>
      <c r="O66" s="442"/>
      <c r="P66" s="442"/>
      <c r="Q66" s="442"/>
      <c r="R66" s="442"/>
      <c r="S66" s="442"/>
      <c r="T66" s="442"/>
      <c r="U66" s="393"/>
      <c r="V66" s="393"/>
      <c r="W66" s="393"/>
      <c r="X66" s="337"/>
      <c r="Y66" s="275"/>
      <c r="Z66" s="275"/>
      <c r="AA66" s="275"/>
      <c r="AB66" s="275"/>
      <c r="AC66" s="275"/>
      <c r="AD66" s="275"/>
      <c r="AE66" s="275"/>
      <c r="AF66" s="275"/>
    </row>
    <row r="67" spans="1:32" ht="26.25" customHeight="1">
      <c r="A67" s="308"/>
      <c r="B67" s="847">
        <v>32</v>
      </c>
      <c r="C67" s="1057" t="s">
        <v>86</v>
      </c>
      <c r="D67" s="1059" t="s">
        <v>325</v>
      </c>
      <c r="E67" s="370">
        <f>259771/100000</f>
        <v>2.5977100000000002</v>
      </c>
      <c r="F67" s="1061"/>
      <c r="G67" s="1061"/>
      <c r="H67" s="1061"/>
      <c r="I67" s="1053">
        <v>40917</v>
      </c>
      <c r="J67" s="282">
        <f>X67</f>
        <v>1.5153308333333335</v>
      </c>
      <c r="K67" s="299" t="s">
        <v>361</v>
      </c>
      <c r="L67" s="444"/>
      <c r="M67" s="444"/>
      <c r="N67" s="293"/>
      <c r="O67" s="293"/>
      <c r="P67" s="293"/>
      <c r="Q67" s="346">
        <f>E67/12</f>
        <v>0.21647583333333334</v>
      </c>
      <c r="R67" s="346">
        <f t="shared" ref="R67:W67" si="29">Q67</f>
        <v>0.21647583333333334</v>
      </c>
      <c r="S67" s="346">
        <f t="shared" si="29"/>
        <v>0.21647583333333334</v>
      </c>
      <c r="T67" s="346">
        <f t="shared" si="29"/>
        <v>0.21647583333333334</v>
      </c>
      <c r="U67" s="346">
        <f t="shared" si="29"/>
        <v>0.21647583333333334</v>
      </c>
      <c r="V67" s="346">
        <f t="shared" si="29"/>
        <v>0.21647583333333334</v>
      </c>
      <c r="W67" s="346">
        <f t="shared" si="29"/>
        <v>0.21647583333333334</v>
      </c>
      <c r="X67" s="357">
        <f>SUM(P67:W67)</f>
        <v>1.5153308333333335</v>
      </c>
      <c r="Y67" s="275"/>
      <c r="Z67" s="275"/>
      <c r="AA67" s="275"/>
      <c r="AB67" s="275"/>
      <c r="AC67" s="275"/>
      <c r="AD67" s="275"/>
      <c r="AE67" s="275"/>
      <c r="AF67" s="275"/>
    </row>
    <row r="68" spans="1:32" ht="28.5" customHeight="1">
      <c r="A68" s="308"/>
      <c r="B68" s="847"/>
      <c r="C68" s="1058"/>
      <c r="D68" s="1060"/>
      <c r="E68" s="306"/>
      <c r="F68" s="1061"/>
      <c r="G68" s="1061"/>
      <c r="H68" s="1061"/>
      <c r="I68" s="1062"/>
      <c r="J68" s="286"/>
      <c r="K68" s="280" t="s">
        <v>362</v>
      </c>
      <c r="L68" s="292"/>
      <c r="M68" s="292"/>
      <c r="N68" s="442"/>
      <c r="O68" s="442"/>
      <c r="P68" s="442"/>
      <c r="Q68" s="442"/>
      <c r="R68" s="442"/>
      <c r="S68" s="442"/>
      <c r="T68" s="442"/>
      <c r="U68" s="393"/>
      <c r="V68" s="393"/>
      <c r="W68" s="393"/>
      <c r="X68" s="337"/>
      <c r="Y68" s="275"/>
      <c r="Z68" s="275"/>
      <c r="AA68" s="275"/>
      <c r="AB68" s="275"/>
      <c r="AC68" s="275"/>
      <c r="AD68" s="275"/>
      <c r="AE68" s="275"/>
      <c r="AF68" s="275"/>
    </row>
    <row r="69" spans="1:32" ht="26.25" customHeight="1">
      <c r="A69" s="308"/>
      <c r="B69" s="847">
        <v>33</v>
      </c>
      <c r="C69" s="1057" t="s">
        <v>390</v>
      </c>
      <c r="D69" s="1059" t="s">
        <v>340</v>
      </c>
      <c r="E69" s="370">
        <v>4.03</v>
      </c>
      <c r="F69" s="1061"/>
      <c r="G69" s="1061"/>
      <c r="H69" s="1061"/>
      <c r="I69" s="1053">
        <v>40917</v>
      </c>
      <c r="J69" s="282">
        <f>X69</f>
        <v>2.3508333333333336</v>
      </c>
      <c r="K69" s="299" t="s">
        <v>361</v>
      </c>
      <c r="L69" s="444"/>
      <c r="M69" s="444"/>
      <c r="N69" s="293"/>
      <c r="O69" s="293"/>
      <c r="P69" s="293"/>
      <c r="Q69" s="346">
        <f>E69/12</f>
        <v>0.33583333333333337</v>
      </c>
      <c r="R69" s="346">
        <f t="shared" ref="R69:W69" si="30">Q69</f>
        <v>0.33583333333333337</v>
      </c>
      <c r="S69" s="346">
        <f t="shared" si="30"/>
        <v>0.33583333333333337</v>
      </c>
      <c r="T69" s="346">
        <f t="shared" si="30"/>
        <v>0.33583333333333337</v>
      </c>
      <c r="U69" s="346">
        <f t="shared" si="30"/>
        <v>0.33583333333333337</v>
      </c>
      <c r="V69" s="346">
        <f t="shared" si="30"/>
        <v>0.33583333333333337</v>
      </c>
      <c r="W69" s="346">
        <f t="shared" si="30"/>
        <v>0.33583333333333337</v>
      </c>
      <c r="X69" s="357">
        <f>SUM(P69:W69)</f>
        <v>2.3508333333333336</v>
      </c>
      <c r="Y69" s="275"/>
      <c r="Z69" s="275"/>
      <c r="AA69" s="275"/>
      <c r="AB69" s="275"/>
      <c r="AC69" s="275"/>
      <c r="AD69" s="275"/>
      <c r="AE69" s="275"/>
      <c r="AF69" s="275"/>
    </row>
    <row r="70" spans="1:32" ht="28.5" customHeight="1">
      <c r="A70" s="308"/>
      <c r="B70" s="847"/>
      <c r="C70" s="1058"/>
      <c r="D70" s="1060"/>
      <c r="E70" s="306"/>
      <c r="F70" s="1061"/>
      <c r="G70" s="1061"/>
      <c r="H70" s="1061"/>
      <c r="I70" s="1062"/>
      <c r="J70" s="286"/>
      <c r="K70" s="280" t="s">
        <v>362</v>
      </c>
      <c r="L70" s="292"/>
      <c r="M70" s="292"/>
      <c r="N70" s="442"/>
      <c r="O70" s="442"/>
      <c r="P70" s="442"/>
      <c r="Q70" s="442"/>
      <c r="R70" s="442"/>
      <c r="S70" s="442"/>
      <c r="T70" s="442"/>
      <c r="U70" s="393"/>
      <c r="V70" s="393"/>
      <c r="W70" s="393"/>
      <c r="X70" s="337"/>
      <c r="Y70" s="275"/>
      <c r="Z70" s="275"/>
      <c r="AA70" s="275"/>
      <c r="AB70" s="275"/>
      <c r="AC70" s="275"/>
      <c r="AD70" s="275"/>
      <c r="AE70" s="275"/>
      <c r="AF70" s="275"/>
    </row>
    <row r="71" spans="1:32" ht="38.25" customHeight="1">
      <c r="A71" s="429"/>
      <c r="B71" s="430"/>
      <c r="C71" s="431"/>
      <c r="D71" s="432"/>
      <c r="E71" s="433"/>
      <c r="F71" s="434"/>
      <c r="G71" s="434"/>
      <c r="H71" s="434"/>
      <c r="I71" s="435"/>
      <c r="J71" s="434"/>
      <c r="K71" s="299" t="s">
        <v>361</v>
      </c>
      <c r="L71" s="605">
        <f>SUM(L5:L70)</f>
        <v>11.200400000000004</v>
      </c>
      <c r="M71" s="605">
        <f>SUM(M5:M70)</f>
        <v>12.008733333333337</v>
      </c>
      <c r="N71" s="475">
        <f>SUM(N5:N70)</f>
        <v>12.383733333333335</v>
      </c>
      <c r="O71" s="475">
        <f t="shared" ref="O71:W71" si="31">SUM(O5:O70)</f>
        <v>19.554883333333333</v>
      </c>
      <c r="P71" s="475">
        <f t="shared" si="31"/>
        <v>23.777026666666664</v>
      </c>
      <c r="Q71" s="475">
        <f t="shared" si="31"/>
        <v>24.5460025</v>
      </c>
      <c r="R71" s="475">
        <f t="shared" si="31"/>
        <v>24.5460025</v>
      </c>
      <c r="S71" s="475">
        <f t="shared" si="31"/>
        <v>24.5460025</v>
      </c>
      <c r="T71" s="475">
        <f t="shared" si="31"/>
        <v>24.5460025</v>
      </c>
      <c r="U71" s="475">
        <f t="shared" si="31"/>
        <v>24.5460025</v>
      </c>
      <c r="V71" s="475">
        <f t="shared" si="31"/>
        <v>24.5460025</v>
      </c>
      <c r="W71" s="475">
        <f t="shared" si="31"/>
        <v>24.5460025</v>
      </c>
      <c r="X71" s="606">
        <f>SUM(L71:W71)</f>
        <v>250.74679416666663</v>
      </c>
      <c r="Y71" s="275"/>
      <c r="Z71" s="275"/>
      <c r="AA71" s="275"/>
      <c r="AB71" s="275"/>
      <c r="AC71" s="275"/>
      <c r="AD71" s="275"/>
      <c r="AE71" s="275"/>
      <c r="AF71" s="275"/>
    </row>
    <row r="72" spans="1:32" ht="38.25" customHeight="1" thickBot="1">
      <c r="A72" s="429"/>
      <c r="B72" s="430"/>
      <c r="C72" s="431"/>
      <c r="D72" s="432"/>
      <c r="E72" s="433"/>
      <c r="F72" s="434"/>
      <c r="G72" s="434"/>
      <c r="H72" s="434"/>
      <c r="I72" s="435"/>
      <c r="J72" s="434"/>
      <c r="K72" s="280" t="s">
        <v>362</v>
      </c>
      <c r="L72" s="605">
        <v>10.73</v>
      </c>
      <c r="M72" s="605">
        <v>15.38</v>
      </c>
      <c r="N72" s="475">
        <v>18.75</v>
      </c>
      <c r="O72" s="475"/>
      <c r="P72" s="475"/>
      <c r="Q72" s="475"/>
      <c r="R72" s="475"/>
      <c r="S72" s="475"/>
      <c r="T72" s="475"/>
      <c r="U72" s="475"/>
      <c r="V72" s="475"/>
      <c r="W72" s="475"/>
      <c r="X72" s="436"/>
      <c r="Y72" s="479"/>
      <c r="Z72" s="479"/>
      <c r="AA72" s="479"/>
      <c r="AB72" s="479"/>
      <c r="AC72" s="479"/>
      <c r="AD72" s="479"/>
      <c r="AE72" s="479"/>
      <c r="AF72" s="479"/>
    </row>
    <row r="73" spans="1:32" ht="38.25" customHeight="1">
      <c r="A73" s="1110" t="s">
        <v>219</v>
      </c>
      <c r="B73" s="1111"/>
      <c r="C73" s="1111"/>
      <c r="D73" s="1111"/>
      <c r="E73" s="1111"/>
      <c r="F73" s="1111"/>
      <c r="G73" s="1111"/>
      <c r="H73" s="1111"/>
      <c r="I73" s="1111"/>
      <c r="J73" s="1111"/>
      <c r="K73" s="1111"/>
      <c r="L73" s="1111"/>
      <c r="M73" s="1111"/>
      <c r="N73" s="1111"/>
      <c r="O73" s="1111"/>
      <c r="P73" s="1111"/>
      <c r="Q73" s="1111"/>
      <c r="R73" s="1111"/>
      <c r="S73" s="1111"/>
      <c r="T73" s="1111"/>
      <c r="U73" s="1111"/>
      <c r="V73" s="1111"/>
      <c r="W73" s="1111"/>
      <c r="X73" s="1112"/>
      <c r="Y73" s="275"/>
      <c r="Z73" s="275"/>
      <c r="AA73" s="275"/>
      <c r="AB73" s="275"/>
      <c r="AC73" s="275"/>
      <c r="AD73" s="275"/>
      <c r="AE73" s="275"/>
      <c r="AF73" s="275"/>
    </row>
    <row r="74" spans="1:32" ht="21.75" customHeight="1">
      <c r="A74" s="1113" t="s">
        <v>363</v>
      </c>
      <c r="B74" s="977">
        <v>1</v>
      </c>
      <c r="C74" s="1098" t="s">
        <v>142</v>
      </c>
      <c r="D74" s="1065" t="s">
        <v>334</v>
      </c>
      <c r="E74" s="313">
        <f>'VAVE-Binola &amp; SMC (2)'!C39</f>
        <v>14.98</v>
      </c>
      <c r="F74" s="1100" t="s">
        <v>364</v>
      </c>
      <c r="G74" s="1101"/>
      <c r="H74" s="1102"/>
      <c r="I74" s="1085"/>
      <c r="J74" s="282">
        <f>X74</f>
        <v>8.7383333333333333</v>
      </c>
      <c r="K74" s="309" t="s">
        <v>361</v>
      </c>
      <c r="L74" s="307"/>
      <c r="M74" s="307"/>
      <c r="N74" s="476">
        <v>0</v>
      </c>
      <c r="O74" s="310"/>
      <c r="P74" s="346"/>
      <c r="Q74" s="346">
        <f>E74/12</f>
        <v>1.2483333333333333</v>
      </c>
      <c r="R74" s="346">
        <f t="shared" ref="R74:W74" si="32">Q74</f>
        <v>1.2483333333333333</v>
      </c>
      <c r="S74" s="346">
        <f t="shared" si="32"/>
        <v>1.2483333333333333</v>
      </c>
      <c r="T74" s="346">
        <f t="shared" si="32"/>
        <v>1.2483333333333333</v>
      </c>
      <c r="U74" s="346">
        <f t="shared" si="32"/>
        <v>1.2483333333333333</v>
      </c>
      <c r="V74" s="346">
        <f t="shared" si="32"/>
        <v>1.2483333333333333</v>
      </c>
      <c r="W74" s="346">
        <f t="shared" si="32"/>
        <v>1.2483333333333333</v>
      </c>
      <c r="X74" s="357">
        <f>SUM(O74:W74)</f>
        <v>8.7383333333333333</v>
      </c>
    </row>
    <row r="75" spans="1:32" ht="21.75" customHeight="1">
      <c r="A75" s="1114"/>
      <c r="B75" s="977"/>
      <c r="C75" s="1099"/>
      <c r="D75" s="1065"/>
      <c r="E75" s="314"/>
      <c r="F75" s="1103"/>
      <c r="G75" s="1104"/>
      <c r="H75" s="1105"/>
      <c r="I75" s="1085"/>
      <c r="J75" s="286"/>
      <c r="K75" s="311" t="s">
        <v>362</v>
      </c>
      <c r="L75" s="307"/>
      <c r="M75" s="307"/>
      <c r="N75" s="476"/>
      <c r="O75" s="310"/>
      <c r="P75" s="310"/>
      <c r="Q75" s="310"/>
      <c r="R75" s="310"/>
      <c r="S75" s="310"/>
      <c r="T75" s="310"/>
      <c r="U75" s="98"/>
      <c r="V75" s="98"/>
      <c r="W75" s="98"/>
      <c r="X75" s="99"/>
    </row>
    <row r="76" spans="1:32" ht="24.75" customHeight="1">
      <c r="A76" s="1114"/>
      <c r="B76" s="977">
        <v>2</v>
      </c>
      <c r="C76" s="1108" t="s">
        <v>143</v>
      </c>
      <c r="D76" s="1065" t="s">
        <v>334</v>
      </c>
      <c r="E76" s="313">
        <f>'VAVE-Binola &amp; SMC (2)'!C40</f>
        <v>34.909999999999997</v>
      </c>
      <c r="F76" s="1100" t="s">
        <v>364</v>
      </c>
      <c r="G76" s="1101"/>
      <c r="H76" s="1102"/>
      <c r="I76" s="1085"/>
      <c r="J76" s="282">
        <f>X76</f>
        <v>20.364166666666666</v>
      </c>
      <c r="K76" s="309" t="s">
        <v>361</v>
      </c>
      <c r="L76" s="307"/>
      <c r="M76" s="307"/>
      <c r="N76" s="476">
        <v>0</v>
      </c>
      <c r="O76" s="310"/>
      <c r="P76" s="346"/>
      <c r="Q76" s="346">
        <f>E76/12</f>
        <v>2.9091666666666662</v>
      </c>
      <c r="R76" s="346">
        <f t="shared" ref="R76:W76" si="33">Q76</f>
        <v>2.9091666666666662</v>
      </c>
      <c r="S76" s="346">
        <f t="shared" si="33"/>
        <v>2.9091666666666662</v>
      </c>
      <c r="T76" s="346">
        <f t="shared" si="33"/>
        <v>2.9091666666666662</v>
      </c>
      <c r="U76" s="346">
        <f t="shared" si="33"/>
        <v>2.9091666666666662</v>
      </c>
      <c r="V76" s="346">
        <f t="shared" si="33"/>
        <v>2.9091666666666662</v>
      </c>
      <c r="W76" s="346">
        <f t="shared" si="33"/>
        <v>2.9091666666666662</v>
      </c>
      <c r="X76" s="357">
        <f>SUM(O76:W76)</f>
        <v>20.364166666666666</v>
      </c>
    </row>
    <row r="77" spans="1:32" ht="24.75" customHeight="1">
      <c r="A77" s="1114"/>
      <c r="B77" s="977"/>
      <c r="C77" s="1109"/>
      <c r="D77" s="1065"/>
      <c r="E77" s="314"/>
      <c r="F77" s="1103"/>
      <c r="G77" s="1104"/>
      <c r="H77" s="1105"/>
      <c r="I77" s="1085"/>
      <c r="J77" s="286"/>
      <c r="K77" s="311" t="s">
        <v>362</v>
      </c>
      <c r="L77" s="307"/>
      <c r="M77" s="307"/>
      <c r="N77" s="476"/>
      <c r="O77" s="98"/>
      <c r="P77" s="98"/>
      <c r="Q77" s="98"/>
      <c r="R77" s="98"/>
      <c r="S77" s="98"/>
      <c r="T77" s="98"/>
      <c r="U77" s="98"/>
      <c r="V77" s="98"/>
      <c r="W77" s="98"/>
      <c r="X77" s="305"/>
    </row>
    <row r="78" spans="1:32" ht="24.75" customHeight="1">
      <c r="A78" s="1114"/>
      <c r="B78" s="977">
        <v>3</v>
      </c>
      <c r="C78" s="1098" t="s">
        <v>144</v>
      </c>
      <c r="D78" s="1059" t="s">
        <v>334</v>
      </c>
      <c r="E78" s="313">
        <f>'VAVE-Binola &amp; SMC (2)'!C41</f>
        <v>16.2</v>
      </c>
      <c r="F78" s="1100" t="s">
        <v>364</v>
      </c>
      <c r="G78" s="1101"/>
      <c r="H78" s="1102"/>
      <c r="I78" s="1106"/>
      <c r="J78" s="282">
        <f>X78</f>
        <v>9.4499999999999993</v>
      </c>
      <c r="K78" s="299" t="s">
        <v>361</v>
      </c>
      <c r="L78" s="307"/>
      <c r="M78" s="307"/>
      <c r="N78" s="476">
        <v>0</v>
      </c>
      <c r="O78" s="310"/>
      <c r="P78" s="346"/>
      <c r="Q78" s="346">
        <f>E78/12</f>
        <v>1.3499999999999999</v>
      </c>
      <c r="R78" s="346">
        <f t="shared" ref="R78:W78" si="34">Q78</f>
        <v>1.3499999999999999</v>
      </c>
      <c r="S78" s="346">
        <f t="shared" si="34"/>
        <v>1.3499999999999999</v>
      </c>
      <c r="T78" s="346">
        <f t="shared" si="34"/>
        <v>1.3499999999999999</v>
      </c>
      <c r="U78" s="346">
        <f t="shared" si="34"/>
        <v>1.3499999999999999</v>
      </c>
      <c r="V78" s="346">
        <f t="shared" si="34"/>
        <v>1.3499999999999999</v>
      </c>
      <c r="W78" s="346">
        <f t="shared" si="34"/>
        <v>1.3499999999999999</v>
      </c>
      <c r="X78" s="357">
        <f>SUM(O78:W78)</f>
        <v>9.4499999999999993</v>
      </c>
    </row>
    <row r="79" spans="1:32" ht="24.75" customHeight="1">
      <c r="A79" s="1114"/>
      <c r="B79" s="977"/>
      <c r="C79" s="1099"/>
      <c r="D79" s="1060"/>
      <c r="E79" s="313"/>
      <c r="F79" s="1103"/>
      <c r="G79" s="1104"/>
      <c r="H79" s="1105"/>
      <c r="I79" s="1107"/>
      <c r="J79" s="282"/>
      <c r="K79" s="311" t="s">
        <v>362</v>
      </c>
      <c r="L79" s="307"/>
      <c r="M79" s="307"/>
      <c r="N79" s="476"/>
      <c r="O79" s="310"/>
      <c r="P79" s="350"/>
      <c r="Q79" s="350"/>
      <c r="R79" s="350"/>
      <c r="S79" s="350"/>
      <c r="T79" s="350"/>
      <c r="U79" s="350"/>
      <c r="V79" s="350"/>
      <c r="W79" s="350"/>
      <c r="X79" s="305"/>
    </row>
    <row r="80" spans="1:32" ht="26.25" customHeight="1">
      <c r="A80" s="1114"/>
      <c r="B80" s="977">
        <v>4</v>
      </c>
      <c r="C80" s="1063" t="s">
        <v>222</v>
      </c>
      <c r="D80" s="1059" t="s">
        <v>339</v>
      </c>
      <c r="E80" s="304">
        <f>'VAVE-Binola &amp; SMC (2)'!C42</f>
        <v>7</v>
      </c>
      <c r="F80" s="1088" t="s">
        <v>364</v>
      </c>
      <c r="G80" s="1089"/>
      <c r="H80" s="1090"/>
      <c r="I80" s="1086"/>
      <c r="J80" s="282">
        <f>X80</f>
        <v>4.0833333333333339</v>
      </c>
      <c r="K80" s="299" t="s">
        <v>361</v>
      </c>
      <c r="L80" s="292"/>
      <c r="M80" s="292"/>
      <c r="N80" s="292">
        <v>0</v>
      </c>
      <c r="O80" s="292"/>
      <c r="P80" s="292"/>
      <c r="Q80" s="346">
        <f>E80/12</f>
        <v>0.58333333333333337</v>
      </c>
      <c r="R80" s="346">
        <f t="shared" ref="R80:W80" si="35">Q80</f>
        <v>0.58333333333333337</v>
      </c>
      <c r="S80" s="346">
        <f t="shared" si="35"/>
        <v>0.58333333333333337</v>
      </c>
      <c r="T80" s="346">
        <f t="shared" si="35"/>
        <v>0.58333333333333337</v>
      </c>
      <c r="U80" s="346">
        <f t="shared" si="35"/>
        <v>0.58333333333333337</v>
      </c>
      <c r="V80" s="346">
        <f t="shared" si="35"/>
        <v>0.58333333333333337</v>
      </c>
      <c r="W80" s="346">
        <f t="shared" si="35"/>
        <v>0.58333333333333337</v>
      </c>
      <c r="X80" s="357">
        <f>SUM(Q80:W80)</f>
        <v>4.0833333333333339</v>
      </c>
      <c r="Y80" s="275"/>
      <c r="Z80" s="275"/>
      <c r="AA80" s="275"/>
      <c r="AB80" s="275"/>
      <c r="AC80" s="275"/>
      <c r="AD80" s="275"/>
      <c r="AE80" s="275"/>
      <c r="AF80" s="275"/>
    </row>
    <row r="81" spans="1:32" ht="26.25" customHeight="1" thickBot="1">
      <c r="A81" s="1114"/>
      <c r="B81" s="977"/>
      <c r="C81" s="1064"/>
      <c r="D81" s="1060"/>
      <c r="E81" s="312"/>
      <c r="F81" s="1091"/>
      <c r="G81" s="1092"/>
      <c r="H81" s="1093"/>
      <c r="I81" s="1087"/>
      <c r="J81" s="286"/>
      <c r="K81" s="280" t="s">
        <v>362</v>
      </c>
      <c r="L81" s="292"/>
      <c r="M81" s="292"/>
      <c r="N81" s="477"/>
      <c r="O81" s="307"/>
      <c r="P81" s="307"/>
      <c r="Q81" s="307"/>
      <c r="R81" s="98"/>
      <c r="S81" s="98"/>
      <c r="T81" s="98"/>
      <c r="U81" s="98"/>
      <c r="V81" s="98"/>
      <c r="W81" s="98"/>
      <c r="X81" s="99"/>
      <c r="Y81" s="275"/>
      <c r="Z81" s="275"/>
      <c r="AA81" s="275"/>
      <c r="AB81" s="275"/>
      <c r="AC81" s="275"/>
      <c r="AD81" s="275"/>
      <c r="AE81" s="275"/>
      <c r="AF81" s="275"/>
    </row>
    <row r="82" spans="1:32" ht="26.25" customHeight="1" thickBot="1">
      <c r="A82" s="467"/>
      <c r="B82" s="315"/>
      <c r="C82" s="468"/>
      <c r="D82" s="469"/>
      <c r="E82" s="470"/>
      <c r="F82" s="471"/>
      <c r="G82" s="471"/>
      <c r="H82" s="471"/>
      <c r="I82" s="471"/>
      <c r="J82" s="471"/>
      <c r="K82" s="472"/>
      <c r="L82" s="473"/>
      <c r="M82" s="473"/>
      <c r="N82" s="477">
        <f>SUM(N74:N81)</f>
        <v>0</v>
      </c>
      <c r="O82" s="477">
        <f t="shared" ref="O82:W82" si="36">SUM(O74:O81)</f>
        <v>0</v>
      </c>
      <c r="P82" s="477">
        <f t="shared" si="36"/>
        <v>0</v>
      </c>
      <c r="Q82" s="477">
        <f t="shared" si="36"/>
        <v>6.0908333333333324</v>
      </c>
      <c r="R82" s="477">
        <f t="shared" si="36"/>
        <v>6.0908333333333324</v>
      </c>
      <c r="S82" s="477">
        <f t="shared" si="36"/>
        <v>6.0908333333333324</v>
      </c>
      <c r="T82" s="477">
        <f t="shared" si="36"/>
        <v>6.0908333333333324</v>
      </c>
      <c r="U82" s="477">
        <f t="shared" si="36"/>
        <v>6.0908333333333324</v>
      </c>
      <c r="V82" s="477">
        <f t="shared" si="36"/>
        <v>6.0908333333333324</v>
      </c>
      <c r="W82" s="477">
        <f t="shared" si="36"/>
        <v>6.0908333333333324</v>
      </c>
      <c r="X82" s="474"/>
      <c r="Y82" s="275"/>
      <c r="Z82" s="275"/>
      <c r="AA82" s="275"/>
      <c r="AB82" s="275"/>
      <c r="AC82" s="275"/>
      <c r="AD82" s="275"/>
      <c r="AE82" s="275"/>
      <c r="AF82" s="275"/>
    </row>
    <row r="83" spans="1:32" ht="48.75" customHeight="1" thickBot="1">
      <c r="A83" s="1094" t="s">
        <v>149</v>
      </c>
      <c r="B83" s="1095"/>
      <c r="C83" s="1095"/>
      <c r="D83" s="1095"/>
      <c r="E83" s="1095"/>
      <c r="F83" s="1095"/>
      <c r="G83" s="1095"/>
      <c r="H83" s="1095"/>
      <c r="I83" s="1095"/>
      <c r="J83" s="1095"/>
      <c r="K83" s="1095"/>
      <c r="L83" s="1095"/>
      <c r="M83" s="1095"/>
      <c r="N83" s="1095"/>
      <c r="O83" s="1095"/>
      <c r="P83" s="1095"/>
      <c r="Q83" s="1095"/>
      <c r="R83" s="1095"/>
      <c r="S83" s="1095"/>
      <c r="T83" s="1095"/>
      <c r="U83" s="1095"/>
      <c r="V83" s="1095"/>
      <c r="W83" s="1095"/>
      <c r="X83" s="1096"/>
    </row>
    <row r="84" spans="1:32" ht="48.75" customHeight="1">
      <c r="A84" s="1038" t="s">
        <v>428</v>
      </c>
      <c r="B84" s="316">
        <v>1</v>
      </c>
      <c r="C84" s="445" t="s">
        <v>147</v>
      </c>
      <c r="D84" s="446" t="s">
        <v>385</v>
      </c>
      <c r="E84" s="447">
        <f>83140000/100000</f>
        <v>831.4</v>
      </c>
      <c r="F84" s="1097"/>
      <c r="G84" s="1097"/>
      <c r="H84" s="1097"/>
      <c r="I84" s="317"/>
      <c r="J84" s="317"/>
      <c r="K84" s="318"/>
      <c r="L84" s="319"/>
      <c r="M84" s="319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448"/>
    </row>
    <row r="85" spans="1:32" ht="48.75" customHeight="1">
      <c r="A85" s="909"/>
      <c r="B85" s="393">
        <v>2</v>
      </c>
      <c r="C85" s="449" t="s">
        <v>153</v>
      </c>
      <c r="D85" s="450"/>
      <c r="E85" s="451">
        <f>4024800/100000</f>
        <v>40.247999999999998</v>
      </c>
      <c r="F85" s="1042"/>
      <c r="G85" s="1042"/>
      <c r="H85" s="1042"/>
      <c r="I85" s="281"/>
      <c r="J85" s="281"/>
      <c r="K85" s="311"/>
      <c r="L85" s="104"/>
      <c r="M85" s="104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9"/>
    </row>
    <row r="86" spans="1:32" ht="31.5" customHeight="1">
      <c r="A86" s="909"/>
      <c r="B86" s="861">
        <v>3</v>
      </c>
      <c r="C86" s="1047" t="s">
        <v>297</v>
      </c>
      <c r="D86" s="1043"/>
      <c r="E86" s="1045">
        <f>(1000*2*12)/100000</f>
        <v>0.24</v>
      </c>
      <c r="F86" s="1042"/>
      <c r="G86" s="1042"/>
      <c r="H86" s="1042"/>
      <c r="I86" s="1053">
        <v>40912</v>
      </c>
      <c r="J86" s="281"/>
      <c r="K86" s="299" t="s">
        <v>361</v>
      </c>
      <c r="L86" s="346">
        <f>E86/12</f>
        <v>0.02</v>
      </c>
      <c r="M86" s="346">
        <f>L86</f>
        <v>0.02</v>
      </c>
      <c r="N86" s="346">
        <f t="shared" ref="N86:W86" si="37">M86</f>
        <v>0.02</v>
      </c>
      <c r="O86" s="346">
        <f t="shared" si="37"/>
        <v>0.02</v>
      </c>
      <c r="P86" s="346">
        <f t="shared" si="37"/>
        <v>0.02</v>
      </c>
      <c r="Q86" s="346">
        <f t="shared" si="37"/>
        <v>0.02</v>
      </c>
      <c r="R86" s="346">
        <f t="shared" si="37"/>
        <v>0.02</v>
      </c>
      <c r="S86" s="346">
        <f t="shared" si="37"/>
        <v>0.02</v>
      </c>
      <c r="T86" s="346">
        <f t="shared" si="37"/>
        <v>0.02</v>
      </c>
      <c r="U86" s="346">
        <f t="shared" si="37"/>
        <v>0.02</v>
      </c>
      <c r="V86" s="346">
        <f t="shared" si="37"/>
        <v>0.02</v>
      </c>
      <c r="W86" s="346">
        <f t="shared" si="37"/>
        <v>0.02</v>
      </c>
      <c r="X86" s="357">
        <f>SUM(L86:W86)</f>
        <v>0.23999999999999996</v>
      </c>
    </row>
    <row r="87" spans="1:32" ht="31.5" customHeight="1">
      <c r="A87" s="909"/>
      <c r="B87" s="862"/>
      <c r="C87" s="1048"/>
      <c r="D87" s="1044"/>
      <c r="E87" s="1046"/>
      <c r="F87" s="1049"/>
      <c r="G87" s="1050"/>
      <c r="H87" s="1051"/>
      <c r="I87" s="1054"/>
      <c r="J87" s="281"/>
      <c r="K87" s="280" t="s">
        <v>362</v>
      </c>
      <c r="L87" s="455">
        <f>L86</f>
        <v>0.02</v>
      </c>
      <c r="M87" s="455">
        <f>M86</f>
        <v>0.02</v>
      </c>
      <c r="N87" s="455"/>
      <c r="O87" s="346"/>
      <c r="P87" s="346"/>
      <c r="Q87" s="346"/>
      <c r="R87" s="346"/>
      <c r="S87" s="346"/>
      <c r="T87" s="346"/>
      <c r="U87" s="346"/>
      <c r="V87" s="346"/>
      <c r="W87" s="346"/>
      <c r="X87" s="357"/>
    </row>
    <row r="88" spans="1:32" ht="31.5" customHeight="1">
      <c r="A88" s="909"/>
      <c r="B88" s="861">
        <v>4</v>
      </c>
      <c r="C88" s="1047" t="s">
        <v>296</v>
      </c>
      <c r="D88" s="1043"/>
      <c r="E88" s="1045">
        <f>730821/100000</f>
        <v>7.3082099999999999</v>
      </c>
      <c r="F88" s="1042"/>
      <c r="G88" s="1042"/>
      <c r="H88" s="1042"/>
      <c r="I88" s="1053">
        <v>40912</v>
      </c>
      <c r="J88" s="281"/>
      <c r="K88" s="299" t="s">
        <v>361</v>
      </c>
      <c r="L88" s="346">
        <f>E88/12</f>
        <v>0.60901749999999999</v>
      </c>
      <c r="M88" s="346">
        <f>L88</f>
        <v>0.60901749999999999</v>
      </c>
      <c r="N88" s="346">
        <f t="shared" ref="N88:W88" si="38">M88</f>
        <v>0.60901749999999999</v>
      </c>
      <c r="O88" s="346">
        <f t="shared" si="38"/>
        <v>0.60901749999999999</v>
      </c>
      <c r="P88" s="346">
        <f t="shared" si="38"/>
        <v>0.60901749999999999</v>
      </c>
      <c r="Q88" s="346">
        <f t="shared" si="38"/>
        <v>0.60901749999999999</v>
      </c>
      <c r="R88" s="346">
        <f t="shared" si="38"/>
        <v>0.60901749999999999</v>
      </c>
      <c r="S88" s="346">
        <f t="shared" si="38"/>
        <v>0.60901749999999999</v>
      </c>
      <c r="T88" s="346">
        <f t="shared" si="38"/>
        <v>0.60901749999999999</v>
      </c>
      <c r="U88" s="346">
        <f t="shared" si="38"/>
        <v>0.60901749999999999</v>
      </c>
      <c r="V88" s="346">
        <f t="shared" si="38"/>
        <v>0.60901749999999999</v>
      </c>
      <c r="W88" s="346">
        <f t="shared" si="38"/>
        <v>0.60901749999999999</v>
      </c>
      <c r="X88" s="357">
        <f t="shared" ref="X88:X98" si="39">SUM(L88:W88)</f>
        <v>7.3082100000000016</v>
      </c>
    </row>
    <row r="89" spans="1:32" ht="31.5" customHeight="1">
      <c r="A89" s="909"/>
      <c r="B89" s="862"/>
      <c r="C89" s="1048"/>
      <c r="D89" s="1044"/>
      <c r="E89" s="1046"/>
      <c r="F89" s="1049"/>
      <c r="G89" s="1050"/>
      <c r="H89" s="1051"/>
      <c r="I89" s="1054"/>
      <c r="J89" s="281"/>
      <c r="K89" s="280" t="s">
        <v>362</v>
      </c>
      <c r="L89" s="455">
        <f>L88</f>
        <v>0.60901749999999999</v>
      </c>
      <c r="M89" s="455">
        <f>M88</f>
        <v>0.60901749999999999</v>
      </c>
      <c r="N89" s="455"/>
      <c r="O89" s="346"/>
      <c r="P89" s="346"/>
      <c r="Q89" s="346"/>
      <c r="R89" s="346"/>
      <c r="S89" s="346"/>
      <c r="T89" s="346"/>
      <c r="U89" s="346"/>
      <c r="V89" s="346"/>
      <c r="W89" s="346"/>
      <c r="X89" s="357"/>
    </row>
    <row r="90" spans="1:32" ht="31.5" customHeight="1">
      <c r="A90" s="909"/>
      <c r="B90" s="861">
        <v>5</v>
      </c>
      <c r="C90" s="1047" t="s">
        <v>298</v>
      </c>
      <c r="D90" s="1043"/>
      <c r="E90" s="1045">
        <f>(300*0.5*288)/100000</f>
        <v>0.432</v>
      </c>
      <c r="F90" s="1042"/>
      <c r="G90" s="1042"/>
      <c r="H90" s="1042"/>
      <c r="I90" s="1053">
        <v>40916</v>
      </c>
      <c r="J90" s="281"/>
      <c r="K90" s="299" t="s">
        <v>361</v>
      </c>
      <c r="L90" s="346"/>
      <c r="M90" s="346"/>
      <c r="N90" s="346"/>
      <c r="O90" s="346"/>
      <c r="P90" s="346">
        <f>E90/12</f>
        <v>3.5999999999999997E-2</v>
      </c>
      <c r="Q90" s="346">
        <f>P90</f>
        <v>3.5999999999999997E-2</v>
      </c>
      <c r="R90" s="346">
        <f t="shared" ref="R90:W90" si="40">Q90</f>
        <v>3.5999999999999997E-2</v>
      </c>
      <c r="S90" s="346">
        <f t="shared" si="40"/>
        <v>3.5999999999999997E-2</v>
      </c>
      <c r="T90" s="346">
        <f t="shared" si="40"/>
        <v>3.5999999999999997E-2</v>
      </c>
      <c r="U90" s="346">
        <f t="shared" si="40"/>
        <v>3.5999999999999997E-2</v>
      </c>
      <c r="V90" s="346">
        <f t="shared" si="40"/>
        <v>3.5999999999999997E-2</v>
      </c>
      <c r="W90" s="346">
        <f t="shared" si="40"/>
        <v>3.5999999999999997E-2</v>
      </c>
      <c r="X90" s="357">
        <f t="shared" si="39"/>
        <v>0.28799999999999998</v>
      </c>
    </row>
    <row r="91" spans="1:32" ht="31.5" customHeight="1">
      <c r="A91" s="909"/>
      <c r="B91" s="862"/>
      <c r="C91" s="1048"/>
      <c r="D91" s="1044"/>
      <c r="E91" s="1046"/>
      <c r="F91" s="1049"/>
      <c r="G91" s="1050"/>
      <c r="H91" s="1051"/>
      <c r="I91" s="1054"/>
      <c r="J91" s="281"/>
      <c r="K91" s="280" t="s">
        <v>362</v>
      </c>
      <c r="L91" s="346"/>
      <c r="M91" s="346"/>
      <c r="N91" s="346"/>
      <c r="O91" s="346"/>
      <c r="P91" s="346"/>
      <c r="Q91" s="346"/>
      <c r="R91" s="346"/>
      <c r="S91" s="346"/>
      <c r="T91" s="346"/>
      <c r="U91" s="346"/>
      <c r="V91" s="346"/>
      <c r="W91" s="346"/>
      <c r="X91" s="357"/>
    </row>
    <row r="92" spans="1:32" ht="31.5" customHeight="1">
      <c r="A92" s="909"/>
      <c r="B92" s="861">
        <v>6</v>
      </c>
      <c r="C92" s="1047" t="s">
        <v>299</v>
      </c>
      <c r="D92" s="1043"/>
      <c r="E92" s="1045">
        <f>(40*3.5*288)/100000</f>
        <v>0.4032</v>
      </c>
      <c r="F92" s="1042"/>
      <c r="G92" s="1042"/>
      <c r="H92" s="1042"/>
      <c r="I92" s="1053">
        <v>40912</v>
      </c>
      <c r="J92" s="281"/>
      <c r="K92" s="299" t="s">
        <v>361</v>
      </c>
      <c r="L92" s="346">
        <f>E92/12</f>
        <v>3.3599999999999998E-2</v>
      </c>
      <c r="M92" s="346">
        <f>L92</f>
        <v>3.3599999999999998E-2</v>
      </c>
      <c r="N92" s="346">
        <f t="shared" ref="N92:W92" si="41">M92</f>
        <v>3.3599999999999998E-2</v>
      </c>
      <c r="O92" s="346">
        <f t="shared" si="41"/>
        <v>3.3599999999999998E-2</v>
      </c>
      <c r="P92" s="346">
        <f t="shared" si="41"/>
        <v>3.3599999999999998E-2</v>
      </c>
      <c r="Q92" s="346">
        <f t="shared" si="41"/>
        <v>3.3599999999999998E-2</v>
      </c>
      <c r="R92" s="346">
        <f t="shared" si="41"/>
        <v>3.3599999999999998E-2</v>
      </c>
      <c r="S92" s="346">
        <f t="shared" si="41"/>
        <v>3.3599999999999998E-2</v>
      </c>
      <c r="T92" s="346">
        <f t="shared" si="41"/>
        <v>3.3599999999999998E-2</v>
      </c>
      <c r="U92" s="346">
        <f t="shared" si="41"/>
        <v>3.3599999999999998E-2</v>
      </c>
      <c r="V92" s="346">
        <f t="shared" si="41"/>
        <v>3.3599999999999998E-2</v>
      </c>
      <c r="W92" s="346">
        <f t="shared" si="41"/>
        <v>3.3599999999999998E-2</v>
      </c>
      <c r="X92" s="357">
        <f t="shared" si="39"/>
        <v>0.40320000000000006</v>
      </c>
    </row>
    <row r="93" spans="1:32" ht="31.5" customHeight="1">
      <c r="A93" s="909"/>
      <c r="B93" s="862"/>
      <c r="C93" s="1048"/>
      <c r="D93" s="1044"/>
      <c r="E93" s="1046"/>
      <c r="F93" s="1049"/>
      <c r="G93" s="1050"/>
      <c r="H93" s="1051"/>
      <c r="I93" s="1054"/>
      <c r="J93" s="281"/>
      <c r="K93" s="280" t="s">
        <v>362</v>
      </c>
      <c r="L93" s="455">
        <f>L92</f>
        <v>3.3599999999999998E-2</v>
      </c>
      <c r="M93" s="455">
        <f>M92</f>
        <v>3.3599999999999998E-2</v>
      </c>
      <c r="N93" s="455"/>
      <c r="O93" s="346"/>
      <c r="P93" s="346"/>
      <c r="Q93" s="346"/>
      <c r="R93" s="346"/>
      <c r="S93" s="346"/>
      <c r="T93" s="346"/>
      <c r="U93" s="346"/>
      <c r="V93" s="346"/>
      <c r="W93" s="346"/>
      <c r="X93" s="357"/>
    </row>
    <row r="94" spans="1:32" ht="31.5" customHeight="1">
      <c r="A94" s="909"/>
      <c r="B94" s="861">
        <v>7</v>
      </c>
      <c r="C94" s="861" t="s">
        <v>394</v>
      </c>
      <c r="D94" s="1043"/>
      <c r="E94" s="1045">
        <f>'VAVE-Binola &amp; SMC (2)'!C51</f>
        <v>8.5</v>
      </c>
      <c r="F94" s="1042"/>
      <c r="G94" s="1042"/>
      <c r="H94" s="1042"/>
      <c r="I94" s="1053">
        <v>40912</v>
      </c>
      <c r="J94" s="281"/>
      <c r="K94" s="299" t="s">
        <v>361</v>
      </c>
      <c r="L94" s="346">
        <f>E94/12</f>
        <v>0.70833333333333337</v>
      </c>
      <c r="M94" s="346">
        <f>L94</f>
        <v>0.70833333333333337</v>
      </c>
      <c r="N94" s="346">
        <f t="shared" ref="N94:W98" si="42">M94</f>
        <v>0.70833333333333337</v>
      </c>
      <c r="O94" s="346">
        <f t="shared" si="42"/>
        <v>0.70833333333333337</v>
      </c>
      <c r="P94" s="346">
        <f t="shared" si="42"/>
        <v>0.70833333333333337</v>
      </c>
      <c r="Q94" s="346">
        <f t="shared" si="42"/>
        <v>0.70833333333333337</v>
      </c>
      <c r="R94" s="346">
        <f t="shared" si="42"/>
        <v>0.70833333333333337</v>
      </c>
      <c r="S94" s="346">
        <f t="shared" si="42"/>
        <v>0.70833333333333337</v>
      </c>
      <c r="T94" s="346">
        <f t="shared" si="42"/>
        <v>0.70833333333333337</v>
      </c>
      <c r="U94" s="346">
        <f t="shared" si="42"/>
        <v>0.70833333333333337</v>
      </c>
      <c r="V94" s="346">
        <f t="shared" si="42"/>
        <v>0.70833333333333337</v>
      </c>
      <c r="W94" s="346">
        <f t="shared" si="42"/>
        <v>0.70833333333333337</v>
      </c>
      <c r="X94" s="357">
        <f t="shared" si="39"/>
        <v>8.4999999999999982</v>
      </c>
    </row>
    <row r="95" spans="1:32" ht="31.5" customHeight="1">
      <c r="A95" s="909"/>
      <c r="B95" s="862"/>
      <c r="C95" s="862"/>
      <c r="D95" s="1044"/>
      <c r="E95" s="1046"/>
      <c r="F95" s="1049"/>
      <c r="G95" s="1050"/>
      <c r="H95" s="1051"/>
      <c r="I95" s="1054"/>
      <c r="J95" s="281"/>
      <c r="K95" s="280" t="s">
        <v>362</v>
      </c>
      <c r="L95" s="455">
        <f>L94</f>
        <v>0.70833333333333337</v>
      </c>
      <c r="M95" s="455">
        <f>M94</f>
        <v>0.70833333333333337</v>
      </c>
      <c r="N95" s="455"/>
      <c r="O95" s="346"/>
      <c r="P95" s="346"/>
      <c r="Q95" s="346"/>
      <c r="R95" s="346"/>
      <c r="S95" s="346"/>
      <c r="T95" s="346"/>
      <c r="U95" s="346"/>
      <c r="V95" s="346"/>
      <c r="W95" s="346"/>
      <c r="X95" s="357"/>
    </row>
    <row r="96" spans="1:32" ht="31.5" customHeight="1">
      <c r="A96" s="909"/>
      <c r="B96" s="861">
        <v>8</v>
      </c>
      <c r="C96" s="1055" t="s">
        <v>395</v>
      </c>
      <c r="D96" s="1043"/>
      <c r="E96" s="1045">
        <f>'VAVE-Binola &amp; SMC (2)'!C52</f>
        <v>0.7</v>
      </c>
      <c r="F96" s="1042"/>
      <c r="G96" s="1042"/>
      <c r="H96" s="1042"/>
      <c r="I96" s="452">
        <v>40915</v>
      </c>
      <c r="J96" s="281"/>
      <c r="K96" s="299" t="s">
        <v>361</v>
      </c>
      <c r="L96" s="104"/>
      <c r="M96" s="104"/>
      <c r="N96" s="98"/>
      <c r="O96" s="346">
        <f>E96/12</f>
        <v>5.8333333333333327E-2</v>
      </c>
      <c r="P96" s="346">
        <f t="shared" si="42"/>
        <v>5.8333333333333327E-2</v>
      </c>
      <c r="Q96" s="346">
        <f t="shared" si="42"/>
        <v>5.8333333333333327E-2</v>
      </c>
      <c r="R96" s="346">
        <f t="shared" si="42"/>
        <v>5.8333333333333327E-2</v>
      </c>
      <c r="S96" s="346">
        <f t="shared" si="42"/>
        <v>5.8333333333333327E-2</v>
      </c>
      <c r="T96" s="346">
        <f t="shared" si="42"/>
        <v>5.8333333333333327E-2</v>
      </c>
      <c r="U96" s="346">
        <f t="shared" si="42"/>
        <v>5.8333333333333327E-2</v>
      </c>
      <c r="V96" s="346">
        <f t="shared" si="42"/>
        <v>5.8333333333333327E-2</v>
      </c>
      <c r="W96" s="346">
        <f t="shared" si="42"/>
        <v>5.8333333333333327E-2</v>
      </c>
      <c r="X96" s="357">
        <f t="shared" si="39"/>
        <v>0.52500000000000002</v>
      </c>
    </row>
    <row r="97" spans="1:24" ht="31.5" customHeight="1">
      <c r="A97" s="909"/>
      <c r="B97" s="862"/>
      <c r="C97" s="1056"/>
      <c r="D97" s="1044"/>
      <c r="E97" s="1046"/>
      <c r="F97" s="1049"/>
      <c r="G97" s="1050"/>
      <c r="H97" s="1051"/>
      <c r="I97" s="395"/>
      <c r="J97" s="394"/>
      <c r="K97" s="280" t="s">
        <v>362</v>
      </c>
      <c r="L97" s="453"/>
      <c r="M97" s="453"/>
      <c r="N97" s="454"/>
      <c r="O97" s="346"/>
      <c r="P97" s="346"/>
      <c r="Q97" s="346"/>
      <c r="R97" s="346"/>
      <c r="S97" s="346"/>
      <c r="T97" s="346"/>
      <c r="U97" s="346"/>
      <c r="V97" s="346"/>
      <c r="W97" s="346"/>
      <c r="X97" s="357"/>
    </row>
    <row r="98" spans="1:24" ht="31.5" customHeight="1">
      <c r="A98" s="909"/>
      <c r="B98" s="977">
        <v>9</v>
      </c>
      <c r="C98" s="1011" t="s">
        <v>396</v>
      </c>
      <c r="D98" s="1040"/>
      <c r="E98" s="1041">
        <f>'VAVE-Binola &amp; SMC (2)'!C53</f>
        <v>12.8</v>
      </c>
      <c r="F98" s="1042"/>
      <c r="G98" s="1042"/>
      <c r="H98" s="1042"/>
      <c r="I98" s="1052">
        <v>40915</v>
      </c>
      <c r="J98" s="281"/>
      <c r="K98" s="283" t="s">
        <v>361</v>
      </c>
      <c r="L98" s="104"/>
      <c r="M98" s="104"/>
      <c r="N98" s="98"/>
      <c r="O98" s="346">
        <f>E98/12</f>
        <v>1.0666666666666667</v>
      </c>
      <c r="P98" s="346">
        <f>O98</f>
        <v>1.0666666666666667</v>
      </c>
      <c r="Q98" s="346">
        <f t="shared" si="42"/>
        <v>1.0666666666666667</v>
      </c>
      <c r="R98" s="346">
        <f t="shared" si="42"/>
        <v>1.0666666666666667</v>
      </c>
      <c r="S98" s="346">
        <f t="shared" si="42"/>
        <v>1.0666666666666667</v>
      </c>
      <c r="T98" s="346">
        <f t="shared" si="42"/>
        <v>1.0666666666666667</v>
      </c>
      <c r="U98" s="346">
        <f t="shared" si="42"/>
        <v>1.0666666666666667</v>
      </c>
      <c r="V98" s="346">
        <f t="shared" si="42"/>
        <v>1.0666666666666667</v>
      </c>
      <c r="W98" s="346">
        <f t="shared" si="42"/>
        <v>1.0666666666666667</v>
      </c>
      <c r="X98" s="357">
        <f t="shared" si="39"/>
        <v>9.6</v>
      </c>
    </row>
    <row r="99" spans="1:24" ht="31.5" customHeight="1" thickBot="1">
      <c r="A99" s="1039"/>
      <c r="B99" s="977"/>
      <c r="C99" s="1011"/>
      <c r="D99" s="1040"/>
      <c r="E99" s="1041"/>
      <c r="F99" s="1042"/>
      <c r="G99" s="1042"/>
      <c r="H99" s="1042"/>
      <c r="I99" s="1052"/>
      <c r="J99" s="281"/>
      <c r="K99" s="280" t="s">
        <v>362</v>
      </c>
      <c r="L99" s="104"/>
      <c r="M99" s="104"/>
      <c r="N99" s="98"/>
      <c r="O99" s="346"/>
      <c r="P99" s="346"/>
      <c r="Q99" s="346"/>
      <c r="R99" s="346"/>
      <c r="S99" s="346"/>
      <c r="T99" s="346"/>
      <c r="U99" s="346"/>
      <c r="V99" s="346"/>
      <c r="W99" s="346"/>
      <c r="X99" s="357"/>
    </row>
    <row r="100" spans="1:24" ht="35.25" customHeight="1" thickBot="1">
      <c r="A100" s="5"/>
      <c r="B100" s="321"/>
      <c r="C100" s="321"/>
      <c r="D100" s="321"/>
      <c r="E100" s="321"/>
      <c r="F100" s="322"/>
      <c r="G100" s="322"/>
      <c r="H100" s="322"/>
      <c r="I100" s="322"/>
      <c r="J100" s="322"/>
      <c r="K100" s="322"/>
      <c r="L100" s="321"/>
      <c r="M100" s="321"/>
      <c r="N100" s="478">
        <f>SUM(N86:N99)</f>
        <v>1.3709508333333333</v>
      </c>
      <c r="O100" s="478">
        <f t="shared" ref="O100:W100" si="43">SUM(O86:O99)</f>
        <v>2.4959508333333336</v>
      </c>
      <c r="P100" s="478">
        <f t="shared" si="43"/>
        <v>2.5319508333333332</v>
      </c>
      <c r="Q100" s="478">
        <f t="shared" si="43"/>
        <v>2.5319508333333332</v>
      </c>
      <c r="R100" s="478">
        <f t="shared" si="43"/>
        <v>2.5319508333333332</v>
      </c>
      <c r="S100" s="478">
        <f t="shared" si="43"/>
        <v>2.5319508333333332</v>
      </c>
      <c r="T100" s="478">
        <f t="shared" si="43"/>
        <v>2.5319508333333332</v>
      </c>
      <c r="U100" s="478">
        <f t="shared" si="43"/>
        <v>2.5319508333333332</v>
      </c>
      <c r="V100" s="478">
        <f t="shared" si="43"/>
        <v>2.5319508333333332</v>
      </c>
      <c r="W100" s="478">
        <f t="shared" si="43"/>
        <v>2.5319508333333332</v>
      </c>
      <c r="X100" s="323"/>
    </row>
    <row r="101" spans="1:24" ht="32.25" customHeight="1">
      <c r="H101" s="275"/>
      <c r="I101" s="275"/>
      <c r="J101" s="479" t="s">
        <v>156</v>
      </c>
      <c r="K101" s="275"/>
      <c r="N101" s="480">
        <f>N71+N82+N100</f>
        <v>13.754684166666669</v>
      </c>
      <c r="O101" s="480">
        <f t="shared" ref="O101:W101" si="44">O71+O82+O100</f>
        <v>22.050834166666668</v>
      </c>
      <c r="P101" s="480">
        <f t="shared" si="44"/>
        <v>26.308977499999997</v>
      </c>
      <c r="Q101" s="480">
        <f t="shared" si="44"/>
        <v>33.168786666666662</v>
      </c>
      <c r="R101" s="480">
        <f t="shared" si="44"/>
        <v>33.168786666666662</v>
      </c>
      <c r="S101" s="480">
        <f t="shared" si="44"/>
        <v>33.168786666666662</v>
      </c>
      <c r="T101" s="480">
        <f t="shared" si="44"/>
        <v>33.168786666666662</v>
      </c>
      <c r="U101" s="480">
        <f t="shared" si="44"/>
        <v>33.168786666666662</v>
      </c>
      <c r="V101" s="480">
        <f t="shared" si="44"/>
        <v>33.168786666666662</v>
      </c>
      <c r="W101" s="480">
        <f t="shared" si="44"/>
        <v>33.168786666666662</v>
      </c>
    </row>
    <row r="103" spans="1:24" ht="15.75" thickBot="1">
      <c r="J103" s="334"/>
      <c r="K103" s="321"/>
    </row>
    <row r="104" spans="1:24">
      <c r="J104" s="334"/>
    </row>
  </sheetData>
  <mergeCells count="294">
    <mergeCell ref="A5:A28"/>
    <mergeCell ref="B5:B6"/>
    <mergeCell ref="C5:C6"/>
    <mergeCell ref="D5:D6"/>
    <mergeCell ref="F5:H5"/>
    <mergeCell ref="I5:I6"/>
    <mergeCell ref="C11:C12"/>
    <mergeCell ref="D11:D12"/>
    <mergeCell ref="A1:X1"/>
    <mergeCell ref="A2:F2"/>
    <mergeCell ref="G2:W2"/>
    <mergeCell ref="X2:X3"/>
    <mergeCell ref="A3:A4"/>
    <mergeCell ref="B3:B4"/>
    <mergeCell ref="C3:C4"/>
    <mergeCell ref="D3:D4"/>
    <mergeCell ref="E3:E4"/>
    <mergeCell ref="F3:H4"/>
    <mergeCell ref="B17:B18"/>
    <mergeCell ref="C17:C18"/>
    <mergeCell ref="D17:D18"/>
    <mergeCell ref="F17:H17"/>
    <mergeCell ref="I17:I18"/>
    <mergeCell ref="F18:H18"/>
    <mergeCell ref="AA5:AB6"/>
    <mergeCell ref="F6:H6"/>
    <mergeCell ref="B7:B8"/>
    <mergeCell ref="C7:C8"/>
    <mergeCell ref="D7:D8"/>
    <mergeCell ref="F7:H7"/>
    <mergeCell ref="I7:I8"/>
    <mergeCell ref="I3:I4"/>
    <mergeCell ref="J3:J4"/>
    <mergeCell ref="AE7:AF8"/>
    <mergeCell ref="F8:H8"/>
    <mergeCell ref="AB8:AC11"/>
    <mergeCell ref="B9:B10"/>
    <mergeCell ref="C9:C10"/>
    <mergeCell ref="D9:D10"/>
    <mergeCell ref="F9:H9"/>
    <mergeCell ref="I9:I10"/>
    <mergeCell ref="F10:H10"/>
    <mergeCell ref="B11:B12"/>
    <mergeCell ref="AB15:AC16"/>
    <mergeCell ref="F16:H16"/>
    <mergeCell ref="F11:H11"/>
    <mergeCell ref="I11:I12"/>
    <mergeCell ref="F12:H12"/>
    <mergeCell ref="B13:B14"/>
    <mergeCell ref="C13:C14"/>
    <mergeCell ref="D13:D14"/>
    <mergeCell ref="F13:H13"/>
    <mergeCell ref="I13:I14"/>
    <mergeCell ref="F14:H14"/>
    <mergeCell ref="B15:B16"/>
    <mergeCell ref="C15:C16"/>
    <mergeCell ref="D15:D16"/>
    <mergeCell ref="F15:H15"/>
    <mergeCell ref="I15:I16"/>
    <mergeCell ref="Z20:Z22"/>
    <mergeCell ref="AD20:AD25"/>
    <mergeCell ref="B21:B22"/>
    <mergeCell ref="C21:C22"/>
    <mergeCell ref="D21:D22"/>
    <mergeCell ref="F21:H21"/>
    <mergeCell ref="I21:I22"/>
    <mergeCell ref="F22:H22"/>
    <mergeCell ref="B23:B24"/>
    <mergeCell ref="C23:C24"/>
    <mergeCell ref="B19:B20"/>
    <mergeCell ref="C19:C20"/>
    <mergeCell ref="D19:D20"/>
    <mergeCell ref="F19:H19"/>
    <mergeCell ref="I19:I20"/>
    <mergeCell ref="F20:H20"/>
    <mergeCell ref="D23:D24"/>
    <mergeCell ref="F23:H23"/>
    <mergeCell ref="I23:I24"/>
    <mergeCell ref="F24:H24"/>
    <mergeCell ref="B25:B26"/>
    <mergeCell ref="C25:C26"/>
    <mergeCell ref="D25:D26"/>
    <mergeCell ref="F25:H25"/>
    <mergeCell ref="I25:I26"/>
    <mergeCell ref="F26:H26"/>
    <mergeCell ref="B29:B30"/>
    <mergeCell ref="C29:C30"/>
    <mergeCell ref="D29:D30"/>
    <mergeCell ref="F29:H29"/>
    <mergeCell ref="I29:I30"/>
    <mergeCell ref="F30:H30"/>
    <mergeCell ref="B27:B28"/>
    <mergeCell ref="C27:C28"/>
    <mergeCell ref="D27:D28"/>
    <mergeCell ref="F27:H27"/>
    <mergeCell ref="I27:I28"/>
    <mergeCell ref="F28:H28"/>
    <mergeCell ref="B33:B34"/>
    <mergeCell ref="C33:C34"/>
    <mergeCell ref="D33:D34"/>
    <mergeCell ref="F33:H33"/>
    <mergeCell ref="I33:I34"/>
    <mergeCell ref="F34:H34"/>
    <mergeCell ref="B31:B32"/>
    <mergeCell ref="C31:C32"/>
    <mergeCell ref="D31:D32"/>
    <mergeCell ref="F31:H31"/>
    <mergeCell ref="I31:I32"/>
    <mergeCell ref="F32:H32"/>
    <mergeCell ref="B37:B38"/>
    <mergeCell ref="C37:C38"/>
    <mergeCell ref="D37:D38"/>
    <mergeCell ref="F37:H37"/>
    <mergeCell ref="I37:I38"/>
    <mergeCell ref="F38:H38"/>
    <mergeCell ref="B35:B36"/>
    <mergeCell ref="C35:C36"/>
    <mergeCell ref="D35:D36"/>
    <mergeCell ref="F35:H35"/>
    <mergeCell ref="I35:I36"/>
    <mergeCell ref="F36:H36"/>
    <mergeCell ref="B78:B79"/>
    <mergeCell ref="C78:C79"/>
    <mergeCell ref="D78:D79"/>
    <mergeCell ref="F78:H79"/>
    <mergeCell ref="I78:I79"/>
    <mergeCell ref="C76:C77"/>
    <mergeCell ref="A73:X73"/>
    <mergeCell ref="A74:A81"/>
    <mergeCell ref="B74:B75"/>
    <mergeCell ref="D74:D75"/>
    <mergeCell ref="F74:H75"/>
    <mergeCell ref="I74:I75"/>
    <mergeCell ref="B76:B77"/>
    <mergeCell ref="D76:D77"/>
    <mergeCell ref="C74:C75"/>
    <mergeCell ref="F76:H77"/>
    <mergeCell ref="I92:I93"/>
    <mergeCell ref="B80:B81"/>
    <mergeCell ref="C80:C81"/>
    <mergeCell ref="D80:D81"/>
    <mergeCell ref="I80:I81"/>
    <mergeCell ref="F80:H81"/>
    <mergeCell ref="B94:B95"/>
    <mergeCell ref="C94:C95"/>
    <mergeCell ref="D94:D95"/>
    <mergeCell ref="E94:E95"/>
    <mergeCell ref="F95:H95"/>
    <mergeCell ref="A83:X83"/>
    <mergeCell ref="F84:H84"/>
    <mergeCell ref="F85:H85"/>
    <mergeCell ref="F86:H86"/>
    <mergeCell ref="F88:H88"/>
    <mergeCell ref="F90:H90"/>
    <mergeCell ref="F87:H87"/>
    <mergeCell ref="F89:H89"/>
    <mergeCell ref="B86:B87"/>
    <mergeCell ref="C86:C87"/>
    <mergeCell ref="C88:C89"/>
    <mergeCell ref="E88:E89"/>
    <mergeCell ref="I86:I87"/>
    <mergeCell ref="I88:I89"/>
    <mergeCell ref="B90:B91"/>
    <mergeCell ref="C90:C91"/>
    <mergeCell ref="D90:D91"/>
    <mergeCell ref="E90:E91"/>
    <mergeCell ref="F91:H91"/>
    <mergeCell ref="I90:I91"/>
    <mergeCell ref="B41:B42"/>
    <mergeCell ref="C41:C42"/>
    <mergeCell ref="D41:D42"/>
    <mergeCell ref="F41:H41"/>
    <mergeCell ref="I41:I42"/>
    <mergeCell ref="F42:H42"/>
    <mergeCell ref="B49:B50"/>
    <mergeCell ref="C49:C50"/>
    <mergeCell ref="D49:D50"/>
    <mergeCell ref="F49:H49"/>
    <mergeCell ref="I49:I50"/>
    <mergeCell ref="F50:H50"/>
    <mergeCell ref="I47:I48"/>
    <mergeCell ref="I57:I58"/>
    <mergeCell ref="F58:H58"/>
    <mergeCell ref="B61:B62"/>
    <mergeCell ref="I76:I77"/>
    <mergeCell ref="B39:B40"/>
    <mergeCell ref="C39:C40"/>
    <mergeCell ref="D39:D40"/>
    <mergeCell ref="F39:H39"/>
    <mergeCell ref="I39:I40"/>
    <mergeCell ref="F40:H40"/>
    <mergeCell ref="AB47:AC48"/>
    <mergeCell ref="F48:H48"/>
    <mergeCell ref="B45:B46"/>
    <mergeCell ref="C45:C46"/>
    <mergeCell ref="D45:D46"/>
    <mergeCell ref="F45:H45"/>
    <mergeCell ref="I45:I46"/>
    <mergeCell ref="F46:H46"/>
    <mergeCell ref="B43:B44"/>
    <mergeCell ref="C43:C44"/>
    <mergeCell ref="D43:D44"/>
    <mergeCell ref="F43:H43"/>
    <mergeCell ref="I43:I44"/>
    <mergeCell ref="F44:H44"/>
    <mergeCell ref="B47:B48"/>
    <mergeCell ref="C47:C48"/>
    <mergeCell ref="D47:D48"/>
    <mergeCell ref="F47:H47"/>
    <mergeCell ref="Z52:Z54"/>
    <mergeCell ref="AD52:AD57"/>
    <mergeCell ref="B53:B54"/>
    <mergeCell ref="C53:C54"/>
    <mergeCell ref="D53:D54"/>
    <mergeCell ref="F53:H53"/>
    <mergeCell ref="I53:I54"/>
    <mergeCell ref="F54:H54"/>
    <mergeCell ref="B55:B56"/>
    <mergeCell ref="C55:C56"/>
    <mergeCell ref="B51:B52"/>
    <mergeCell ref="C51:C52"/>
    <mergeCell ref="D51:D52"/>
    <mergeCell ref="F51:H51"/>
    <mergeCell ref="I51:I52"/>
    <mergeCell ref="F52:H52"/>
    <mergeCell ref="D55:D56"/>
    <mergeCell ref="F55:H55"/>
    <mergeCell ref="I55:I56"/>
    <mergeCell ref="F56:H56"/>
    <mergeCell ref="B57:B58"/>
    <mergeCell ref="C57:C58"/>
    <mergeCell ref="D57:D58"/>
    <mergeCell ref="F57:H57"/>
    <mergeCell ref="C61:C62"/>
    <mergeCell ref="D61:D62"/>
    <mergeCell ref="F61:H61"/>
    <mergeCell ref="I61:I62"/>
    <mergeCell ref="F62:H62"/>
    <mergeCell ref="B59:B60"/>
    <mergeCell ref="C59:C60"/>
    <mergeCell ref="D59:D60"/>
    <mergeCell ref="F59:H59"/>
    <mergeCell ref="I59:I60"/>
    <mergeCell ref="F60:H60"/>
    <mergeCell ref="B65:B66"/>
    <mergeCell ref="C65:C66"/>
    <mergeCell ref="D65:D66"/>
    <mergeCell ref="F65:H65"/>
    <mergeCell ref="I65:I66"/>
    <mergeCell ref="F66:H66"/>
    <mergeCell ref="B63:B64"/>
    <mergeCell ref="C63:C64"/>
    <mergeCell ref="D63:D64"/>
    <mergeCell ref="F63:H63"/>
    <mergeCell ref="I63:I64"/>
    <mergeCell ref="F64:H64"/>
    <mergeCell ref="B69:B70"/>
    <mergeCell ref="C69:C70"/>
    <mergeCell ref="D69:D70"/>
    <mergeCell ref="F69:H69"/>
    <mergeCell ref="I69:I70"/>
    <mergeCell ref="F70:H70"/>
    <mergeCell ref="B67:B68"/>
    <mergeCell ref="C67:C68"/>
    <mergeCell ref="D67:D68"/>
    <mergeCell ref="F67:H67"/>
    <mergeCell ref="I67:I68"/>
    <mergeCell ref="F68:H68"/>
    <mergeCell ref="I98:I99"/>
    <mergeCell ref="I94:I95"/>
    <mergeCell ref="B96:B97"/>
    <mergeCell ref="C96:C97"/>
    <mergeCell ref="D96:D97"/>
    <mergeCell ref="E96:E97"/>
    <mergeCell ref="F97:H97"/>
    <mergeCell ref="F94:H94"/>
    <mergeCell ref="F96:H96"/>
    <mergeCell ref="F98:H98"/>
    <mergeCell ref="A84:A99"/>
    <mergeCell ref="B98:B99"/>
    <mergeCell ref="C98:C99"/>
    <mergeCell ref="D98:D99"/>
    <mergeCell ref="E98:E99"/>
    <mergeCell ref="F99:H99"/>
    <mergeCell ref="F92:H92"/>
    <mergeCell ref="D86:D87"/>
    <mergeCell ref="E86:E87"/>
    <mergeCell ref="B88:B89"/>
    <mergeCell ref="B92:B93"/>
    <mergeCell ref="C92:C93"/>
    <mergeCell ref="D92:D93"/>
    <mergeCell ref="E92:E93"/>
    <mergeCell ref="F93:H93"/>
    <mergeCell ref="D88:D89"/>
  </mergeCells>
  <pageMargins left="0.7" right="0.7" top="0.75" bottom="0.75" header="0.3" footer="0.3"/>
  <pageSetup paperSize="8" scale="75" orientation="landscape" r:id="rId1"/>
  <colBreaks count="1" manualBreakCount="1">
    <brk id="2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34"/>
  <sheetViews>
    <sheetView topLeftCell="A10" workbookViewId="0">
      <selection activeCell="D17" sqref="D17"/>
    </sheetView>
  </sheetViews>
  <sheetFormatPr defaultRowHeight="15"/>
  <cols>
    <col min="1" max="1" width="4.28515625" style="88" customWidth="1"/>
    <col min="2" max="2" width="37" customWidth="1"/>
    <col min="3" max="8" width="9.140625" style="88"/>
    <col min="9" max="9" width="46.28515625" customWidth="1"/>
    <col min="11" max="11" width="16.7109375" customWidth="1"/>
  </cols>
  <sheetData>
    <row r="1" spans="1:13" ht="24" thickBot="1">
      <c r="A1" s="1138" t="s">
        <v>397</v>
      </c>
      <c r="B1" s="1138"/>
      <c r="C1" s="1139" t="s">
        <v>11</v>
      </c>
      <c r="D1" s="1139"/>
      <c r="E1" s="1139"/>
      <c r="F1" s="1139"/>
      <c r="G1" s="1139"/>
      <c r="H1" s="1139"/>
      <c r="I1" s="1140" t="s">
        <v>398</v>
      </c>
      <c r="J1" s="1140"/>
      <c r="K1" s="402" t="s">
        <v>12</v>
      </c>
      <c r="L1" s="1034" t="s">
        <v>399</v>
      </c>
      <c r="M1" s="1035"/>
    </row>
    <row r="2" spans="1:13" ht="15.75" thickTop="1">
      <c r="A2" s="1036" t="s">
        <v>400</v>
      </c>
      <c r="B2" s="1141" t="s">
        <v>0</v>
      </c>
      <c r="C2" s="1023" t="s">
        <v>401</v>
      </c>
      <c r="D2" s="1143" t="s">
        <v>2</v>
      </c>
      <c r="E2" s="1143"/>
      <c r="F2" s="1143"/>
      <c r="G2" s="1143"/>
      <c r="H2" s="1023" t="s">
        <v>10</v>
      </c>
      <c r="I2" s="1141" t="s">
        <v>3</v>
      </c>
      <c r="J2" s="1144" t="s">
        <v>4</v>
      </c>
      <c r="K2" s="1144" t="s">
        <v>5</v>
      </c>
      <c r="L2" s="1144" t="s">
        <v>6</v>
      </c>
      <c r="M2" s="1134" t="s">
        <v>16</v>
      </c>
    </row>
    <row r="3" spans="1:13" ht="45.75" thickBot="1">
      <c r="A3" s="1037"/>
      <c r="B3" s="1142"/>
      <c r="C3" s="1024"/>
      <c r="D3" s="397" t="s">
        <v>7</v>
      </c>
      <c r="E3" s="397" t="s">
        <v>8</v>
      </c>
      <c r="F3" s="397" t="s">
        <v>9</v>
      </c>
      <c r="G3" s="397" t="s">
        <v>1</v>
      </c>
      <c r="H3" s="1024"/>
      <c r="I3" s="1142"/>
      <c r="J3" s="1145"/>
      <c r="K3" s="1145"/>
      <c r="L3" s="1145"/>
      <c r="M3" s="1135"/>
    </row>
    <row r="4" spans="1:13" ht="16.5" hidden="1" thickTop="1" thickBot="1">
      <c r="A4" s="59"/>
      <c r="B4" s="2"/>
      <c r="C4" s="59"/>
      <c r="D4" s="403"/>
      <c r="E4" s="59"/>
      <c r="F4" s="59"/>
      <c r="G4" s="404"/>
      <c r="H4" s="59"/>
      <c r="I4" s="4"/>
      <c r="J4" s="2"/>
      <c r="K4" s="2"/>
      <c r="L4" s="405"/>
      <c r="M4" s="2"/>
    </row>
    <row r="5" spans="1:13" s="1" customFormat="1" ht="15.75" thickTop="1">
      <c r="A5" s="406"/>
      <c r="B5" s="407" t="s">
        <v>402</v>
      </c>
      <c r="C5" s="408"/>
      <c r="D5" s="409"/>
      <c r="E5" s="408"/>
      <c r="F5" s="408"/>
      <c r="G5" s="408"/>
      <c r="H5" s="408"/>
      <c r="I5" s="410"/>
      <c r="J5" s="410"/>
      <c r="K5" s="410"/>
      <c r="L5" s="410"/>
      <c r="M5" s="411"/>
    </row>
    <row r="6" spans="1:13" s="1" customFormat="1">
      <c r="A6" s="412">
        <v>1</v>
      </c>
      <c r="B6" s="334" t="s">
        <v>394</v>
      </c>
      <c r="C6" s="393">
        <v>8.5</v>
      </c>
      <c r="D6" s="413">
        <f>C6*12/12</f>
        <v>8.5</v>
      </c>
      <c r="E6" s="393">
        <v>1.7</v>
      </c>
      <c r="F6" s="393">
        <f>D6-E6</f>
        <v>6.8</v>
      </c>
      <c r="G6" s="413">
        <v>100</v>
      </c>
      <c r="H6" s="414"/>
      <c r="I6" s="334" t="s">
        <v>403</v>
      </c>
      <c r="J6" s="334" t="s">
        <v>404</v>
      </c>
      <c r="K6" s="334" t="s">
        <v>405</v>
      </c>
      <c r="L6" s="415">
        <v>41000</v>
      </c>
      <c r="M6" s="416"/>
    </row>
    <row r="7" spans="1:13" s="1" customFormat="1">
      <c r="A7" s="412">
        <v>2</v>
      </c>
      <c r="B7" s="334" t="s">
        <v>395</v>
      </c>
      <c r="C7" s="393">
        <v>0.7</v>
      </c>
      <c r="D7" s="413">
        <f>C7*9/12</f>
        <v>0.52500000000000002</v>
      </c>
      <c r="E7" s="393">
        <v>0</v>
      </c>
      <c r="F7" s="393">
        <f>D7-E7</f>
        <v>0.52500000000000002</v>
      </c>
      <c r="G7" s="393">
        <v>75</v>
      </c>
      <c r="H7" s="417"/>
      <c r="I7" s="334" t="s">
        <v>406</v>
      </c>
      <c r="J7" s="334" t="s">
        <v>407</v>
      </c>
      <c r="K7" s="334" t="s">
        <v>408</v>
      </c>
      <c r="L7" s="418" t="s">
        <v>409</v>
      </c>
      <c r="M7" s="416"/>
    </row>
    <row r="8" spans="1:13" s="1" customFormat="1">
      <c r="A8" s="412"/>
      <c r="B8" s="334"/>
      <c r="C8" s="393"/>
      <c r="D8" s="413"/>
      <c r="E8" s="393"/>
      <c r="F8" s="393"/>
      <c r="G8" s="393"/>
      <c r="H8" s="393"/>
      <c r="I8" s="334" t="s">
        <v>410</v>
      </c>
      <c r="J8" s="334"/>
      <c r="K8" s="334" t="s">
        <v>411</v>
      </c>
      <c r="L8" s="419"/>
      <c r="M8" s="416"/>
    </row>
    <row r="9" spans="1:13" s="1" customFormat="1">
      <c r="A9" s="412"/>
      <c r="B9" s="334"/>
      <c r="C9" s="393"/>
      <c r="D9" s="413"/>
      <c r="E9" s="393"/>
      <c r="F9" s="393"/>
      <c r="G9" s="393"/>
      <c r="H9" s="393"/>
      <c r="I9" s="334" t="s">
        <v>412</v>
      </c>
      <c r="J9" s="334"/>
      <c r="K9" s="334" t="s">
        <v>413</v>
      </c>
      <c r="L9" s="393"/>
      <c r="M9" s="416"/>
    </row>
    <row r="10" spans="1:13" s="1" customFormat="1">
      <c r="A10" s="412"/>
      <c r="B10" s="334"/>
      <c r="C10" s="393"/>
      <c r="D10" s="413"/>
      <c r="E10" s="393"/>
      <c r="F10" s="393"/>
      <c r="G10" s="393"/>
      <c r="H10" s="393"/>
      <c r="I10" s="334" t="s">
        <v>414</v>
      </c>
      <c r="J10" s="334"/>
      <c r="K10" s="334"/>
      <c r="L10" s="393"/>
      <c r="M10" s="416"/>
    </row>
    <row r="11" spans="1:13" s="1" customFormat="1">
      <c r="A11" s="412"/>
      <c r="B11" s="334"/>
      <c r="C11" s="393"/>
      <c r="D11" s="413"/>
      <c r="E11" s="393"/>
      <c r="F11" s="393"/>
      <c r="G11" s="393"/>
      <c r="H11" s="393"/>
      <c r="I11" s="334"/>
      <c r="J11" s="334"/>
      <c r="K11" s="334"/>
      <c r="L11" s="393"/>
      <c r="M11" s="416"/>
    </row>
    <row r="12" spans="1:13" s="1" customFormat="1">
      <c r="A12" s="412"/>
      <c r="B12" s="334"/>
      <c r="C12" s="393"/>
      <c r="D12" s="413"/>
      <c r="E12" s="393"/>
      <c r="F12" s="393"/>
      <c r="G12" s="393"/>
      <c r="H12" s="393"/>
      <c r="I12" s="334"/>
      <c r="J12" s="334"/>
      <c r="K12" s="334"/>
      <c r="L12" s="393"/>
      <c r="M12" s="416"/>
    </row>
    <row r="13" spans="1:13" s="1" customFormat="1">
      <c r="A13" s="412"/>
      <c r="B13" s="334"/>
      <c r="C13" s="393"/>
      <c r="D13" s="413"/>
      <c r="E13" s="393"/>
      <c r="F13" s="393"/>
      <c r="G13" s="393"/>
      <c r="H13" s="393"/>
      <c r="I13" s="334"/>
      <c r="J13" s="334"/>
      <c r="K13" s="334"/>
      <c r="L13" s="393"/>
      <c r="M13" s="416"/>
    </row>
    <row r="14" spans="1:13" s="1" customFormat="1">
      <c r="A14" s="412"/>
      <c r="B14" s="334"/>
      <c r="C14" s="393"/>
      <c r="D14" s="413"/>
      <c r="E14" s="393"/>
      <c r="F14" s="393"/>
      <c r="G14" s="393"/>
      <c r="H14" s="393"/>
      <c r="I14" s="334"/>
      <c r="J14" s="334"/>
      <c r="K14" s="334"/>
      <c r="L14" s="393"/>
      <c r="M14" s="416"/>
    </row>
    <row r="15" spans="1:13" s="1" customFormat="1">
      <c r="A15" s="412"/>
      <c r="B15" s="334"/>
      <c r="C15" s="393"/>
      <c r="D15" s="413"/>
      <c r="E15" s="393"/>
      <c r="F15" s="393"/>
      <c r="G15" s="393"/>
      <c r="H15" s="393"/>
      <c r="I15" s="334"/>
      <c r="J15" s="334"/>
      <c r="K15" s="334"/>
      <c r="L15" s="393"/>
      <c r="M15" s="416"/>
    </row>
    <row r="16" spans="1:13" s="1" customFormat="1">
      <c r="A16" s="412"/>
      <c r="B16" s="420" t="s">
        <v>415</v>
      </c>
      <c r="C16" s="393"/>
      <c r="D16" s="413"/>
      <c r="E16" s="393"/>
      <c r="F16" s="393"/>
      <c r="G16" s="393"/>
      <c r="H16" s="393"/>
      <c r="I16" s="334"/>
      <c r="J16" s="334"/>
      <c r="K16" s="334"/>
      <c r="L16" s="393"/>
      <c r="M16" s="416"/>
    </row>
    <row r="17" spans="1:13" s="1" customFormat="1">
      <c r="A17" s="412">
        <v>3</v>
      </c>
      <c r="B17" s="334" t="s">
        <v>396</v>
      </c>
      <c r="C17" s="393">
        <v>12.8</v>
      </c>
      <c r="D17" s="378">
        <f>C17*9.5/12</f>
        <v>10.133333333333335</v>
      </c>
      <c r="E17" s="393">
        <v>0</v>
      </c>
      <c r="F17" s="378">
        <f>D17-E17</f>
        <v>10.133333333333335</v>
      </c>
      <c r="G17" s="393">
        <v>75</v>
      </c>
      <c r="H17" s="417"/>
      <c r="I17" s="334" t="s">
        <v>416</v>
      </c>
      <c r="J17" s="334" t="s">
        <v>417</v>
      </c>
      <c r="K17" s="334" t="s">
        <v>413</v>
      </c>
      <c r="L17" s="393" t="s">
        <v>418</v>
      </c>
      <c r="M17" s="416"/>
    </row>
    <row r="18" spans="1:13" s="1" customFormat="1">
      <c r="A18" s="412"/>
      <c r="B18" s="334"/>
      <c r="C18" s="393"/>
      <c r="D18" s="413"/>
      <c r="E18" s="393"/>
      <c r="F18" s="393"/>
      <c r="G18" s="393"/>
      <c r="H18" s="393"/>
      <c r="I18" s="334"/>
      <c r="J18" s="334"/>
      <c r="K18" s="334" t="s">
        <v>419</v>
      </c>
      <c r="L18" s="393"/>
      <c r="M18" s="416"/>
    </row>
    <row r="19" spans="1:13" s="1" customFormat="1">
      <c r="A19" s="412"/>
      <c r="B19" s="334"/>
      <c r="C19" s="393"/>
      <c r="D19" s="413"/>
      <c r="E19" s="393"/>
      <c r="F19" s="393"/>
      <c r="G19" s="393"/>
      <c r="H19" s="393"/>
      <c r="I19" s="334"/>
      <c r="J19" s="334"/>
      <c r="K19" s="334"/>
      <c r="L19" s="393"/>
      <c r="M19" s="416"/>
    </row>
    <row r="20" spans="1:13" s="1" customFormat="1">
      <c r="A20" s="412"/>
      <c r="B20" s="334"/>
      <c r="C20" s="393"/>
      <c r="D20" s="413"/>
      <c r="E20" s="393"/>
      <c r="F20" s="393"/>
      <c r="G20" s="393"/>
      <c r="H20" s="393"/>
      <c r="I20" s="334"/>
      <c r="J20" s="334"/>
      <c r="K20" s="334"/>
      <c r="L20" s="393"/>
      <c r="M20" s="416"/>
    </row>
    <row r="21" spans="1:13" s="1" customFormat="1">
      <c r="A21" s="412"/>
      <c r="B21" s="334"/>
      <c r="C21" s="393"/>
      <c r="D21" s="413"/>
      <c r="E21" s="393"/>
      <c r="F21" s="393"/>
      <c r="G21" s="393"/>
      <c r="H21" s="393"/>
      <c r="I21" s="334"/>
      <c r="J21" s="334"/>
      <c r="K21" s="334"/>
      <c r="L21" s="393"/>
      <c r="M21" s="416"/>
    </row>
    <row r="22" spans="1:13" s="1" customFormat="1">
      <c r="A22" s="412"/>
      <c r="B22" s="334"/>
      <c r="C22" s="393"/>
      <c r="D22" s="413"/>
      <c r="E22" s="393"/>
      <c r="F22" s="393"/>
      <c r="G22" s="393"/>
      <c r="H22" s="393"/>
      <c r="I22" s="334"/>
      <c r="J22" s="334"/>
      <c r="K22" s="334"/>
      <c r="L22" s="393"/>
      <c r="M22" s="416"/>
    </row>
    <row r="23" spans="1:13" s="1" customFormat="1">
      <c r="A23" s="412"/>
      <c r="B23" s="334"/>
      <c r="C23" s="393"/>
      <c r="D23" s="413"/>
      <c r="E23" s="393"/>
      <c r="F23" s="393"/>
      <c r="G23" s="393"/>
      <c r="H23" s="393"/>
      <c r="I23" s="334"/>
      <c r="J23" s="334"/>
      <c r="K23" s="334"/>
      <c r="L23" s="393"/>
      <c r="M23" s="416"/>
    </row>
    <row r="24" spans="1:13" s="1" customFormat="1">
      <c r="A24" s="412"/>
      <c r="B24" s="334"/>
      <c r="C24" s="393"/>
      <c r="D24" s="413"/>
      <c r="E24" s="393"/>
      <c r="F24" s="393"/>
      <c r="G24" s="393"/>
      <c r="H24" s="393"/>
      <c r="I24" s="334"/>
      <c r="J24" s="334"/>
      <c r="K24" s="334"/>
      <c r="L24" s="393"/>
      <c r="M24" s="416"/>
    </row>
    <row r="25" spans="1:13" s="1" customFormat="1">
      <c r="A25" s="412"/>
      <c r="B25" s="334"/>
      <c r="C25" s="393"/>
      <c r="D25" s="413"/>
      <c r="E25" s="393"/>
      <c r="F25" s="393"/>
      <c r="G25" s="393"/>
      <c r="H25" s="393"/>
      <c r="I25" s="334"/>
      <c r="J25" s="334"/>
      <c r="K25" s="334"/>
      <c r="L25" s="393"/>
      <c r="M25" s="416"/>
    </row>
    <row r="26" spans="1:13" s="1" customFormat="1">
      <c r="A26" s="412"/>
      <c r="B26" s="334"/>
      <c r="C26" s="393"/>
      <c r="D26" s="413"/>
      <c r="E26" s="393"/>
      <c r="F26" s="393"/>
      <c r="G26" s="393"/>
      <c r="H26" s="393"/>
      <c r="I26" s="334"/>
      <c r="J26" s="334"/>
      <c r="K26" s="334"/>
      <c r="L26" s="393"/>
      <c r="M26" s="416"/>
    </row>
    <row r="27" spans="1:13" s="1" customFormat="1" ht="15.75" thickBot="1">
      <c r="A27" s="421"/>
      <c r="B27" s="422"/>
      <c r="C27" s="423"/>
      <c r="D27" s="424"/>
      <c r="E27" s="423"/>
      <c r="F27" s="423"/>
      <c r="G27" s="423"/>
      <c r="H27" s="423"/>
      <c r="I27" s="422"/>
      <c r="J27" s="422"/>
      <c r="K27" s="422"/>
      <c r="L27" s="423"/>
      <c r="M27" s="425"/>
    </row>
    <row r="28" spans="1:13" s="1" customFormat="1" ht="27" customHeight="1" thickTop="1" thickBot="1">
      <c r="A28" s="1136" t="s">
        <v>420</v>
      </c>
      <c r="B28" s="1137"/>
      <c r="C28" s="426">
        <f t="shared" ref="C28:H28" si="0">SUM(C6:C27)</f>
        <v>22</v>
      </c>
      <c r="D28" s="426">
        <f t="shared" si="0"/>
        <v>19.158333333333335</v>
      </c>
      <c r="E28" s="426">
        <f t="shared" si="0"/>
        <v>1.7</v>
      </c>
      <c r="F28" s="426">
        <f t="shared" si="0"/>
        <v>17.458333333333336</v>
      </c>
      <c r="G28" s="426">
        <f t="shared" si="0"/>
        <v>250</v>
      </c>
      <c r="H28" s="426">
        <f t="shared" si="0"/>
        <v>0</v>
      </c>
      <c r="I28" s="427"/>
      <c r="J28" s="427"/>
      <c r="K28" s="427"/>
      <c r="L28" s="427"/>
      <c r="M28" s="428"/>
    </row>
    <row r="29" spans="1:13" s="1" customFormat="1" ht="15.75" thickTop="1">
      <c r="A29" s="8"/>
      <c r="C29" s="8"/>
      <c r="D29" s="8"/>
      <c r="E29" s="8"/>
      <c r="F29" s="8"/>
      <c r="G29" s="8"/>
      <c r="H29" s="8"/>
    </row>
    <row r="30" spans="1:13" s="1" customFormat="1">
      <c r="A30" s="8"/>
      <c r="C30" s="8"/>
      <c r="D30" s="8"/>
      <c r="E30" s="8"/>
      <c r="F30" s="8"/>
      <c r="G30" s="8"/>
      <c r="H30" s="8"/>
    </row>
    <row r="31" spans="1:13" s="1" customFormat="1">
      <c r="A31" s="8"/>
      <c r="C31" s="8"/>
      <c r="D31" s="8"/>
      <c r="E31" s="8"/>
      <c r="F31" s="8"/>
      <c r="G31" s="8"/>
      <c r="H31" s="8"/>
    </row>
    <row r="32" spans="1:13" s="1" customFormat="1">
      <c r="A32" s="8"/>
      <c r="C32" s="8"/>
      <c r="D32" s="8"/>
      <c r="E32" s="8"/>
      <c r="F32" s="8"/>
      <c r="G32" s="8"/>
      <c r="H32" s="8"/>
    </row>
    <row r="33" spans="1:8" s="1" customFormat="1">
      <c r="A33" s="8"/>
      <c r="C33" s="8"/>
      <c r="D33" s="8"/>
      <c r="E33" s="8"/>
      <c r="F33" s="8"/>
      <c r="G33" s="8"/>
      <c r="H33" s="8"/>
    </row>
    <row r="34" spans="1:8" s="1" customFormat="1">
      <c r="A34" s="8"/>
      <c r="C34" s="8"/>
      <c r="D34" s="8"/>
      <c r="E34" s="8"/>
      <c r="F34" s="8"/>
      <c r="G34" s="8"/>
      <c r="H34" s="8"/>
    </row>
  </sheetData>
  <mergeCells count="15">
    <mergeCell ref="M2:M3"/>
    <mergeCell ref="A28:B28"/>
    <mergeCell ref="A1:B1"/>
    <mergeCell ref="C1:H1"/>
    <mergeCell ref="I1:J1"/>
    <mergeCell ref="L1:M1"/>
    <mergeCell ref="A2:A3"/>
    <mergeCell ref="B2:B3"/>
    <mergeCell ref="C2:C3"/>
    <mergeCell ref="D2:G2"/>
    <mergeCell ref="H2:H3"/>
    <mergeCell ref="I2:I3"/>
    <mergeCell ref="J2:J3"/>
    <mergeCell ref="K2:K3"/>
    <mergeCell ref="L2:L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43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7" sqref="F27"/>
    </sheetView>
  </sheetViews>
  <sheetFormatPr defaultRowHeight="15"/>
  <cols>
    <col min="1" max="1" width="4.7109375" bestFit="1" customWidth="1"/>
    <col min="2" max="2" width="38.85546875" customWidth="1"/>
    <col min="3" max="3" width="13.28515625" customWidth="1"/>
    <col min="4" max="4" width="11.5703125" customWidth="1"/>
    <col min="5" max="5" width="11.28515625" customWidth="1"/>
    <col min="6" max="6" width="12.42578125" bestFit="1" customWidth="1"/>
    <col min="7" max="7" width="12.7109375" customWidth="1"/>
    <col min="8" max="8" width="8.140625" customWidth="1"/>
    <col min="9" max="9" width="44.42578125" customWidth="1"/>
    <col min="10" max="10" width="19" customWidth="1"/>
    <col min="11" max="11" width="20.7109375" customWidth="1"/>
    <col min="12" max="12" width="35.28515625" bestFit="1" customWidth="1"/>
    <col min="13" max="13" width="12.42578125" bestFit="1" customWidth="1"/>
  </cols>
  <sheetData>
    <row r="1" spans="1:14" ht="38.25" customHeight="1" thickBot="1">
      <c r="A1" s="1153" t="s">
        <v>87</v>
      </c>
      <c r="B1" s="1153"/>
      <c r="C1" s="1154" t="s">
        <v>11</v>
      </c>
      <c r="D1" s="1154"/>
      <c r="E1" s="1154"/>
      <c r="F1" s="1154"/>
      <c r="G1" s="1154"/>
      <c r="H1" s="1154"/>
      <c r="I1" s="1154" t="s">
        <v>88</v>
      </c>
      <c r="J1" s="1154"/>
      <c r="K1" s="60" t="s">
        <v>12</v>
      </c>
      <c r="L1" s="1155">
        <v>41076</v>
      </c>
      <c r="M1" s="1156"/>
    </row>
    <row r="2" spans="1:14" ht="15" customHeight="1" thickBot="1">
      <c r="A2" s="1149" t="s">
        <v>15</v>
      </c>
      <c r="B2" s="1149" t="s">
        <v>0</v>
      </c>
      <c r="C2" s="1149" t="s">
        <v>13</v>
      </c>
      <c r="D2" s="1157" t="s">
        <v>2</v>
      </c>
      <c r="E2" s="1157"/>
      <c r="F2" s="1157"/>
      <c r="G2" s="1157"/>
      <c r="H2" s="1149" t="s">
        <v>10</v>
      </c>
      <c r="I2" s="1149" t="s">
        <v>3</v>
      </c>
      <c r="J2" s="1149" t="s">
        <v>4</v>
      </c>
      <c r="K2" s="1149" t="s">
        <v>5</v>
      </c>
      <c r="L2" s="1149" t="s">
        <v>6</v>
      </c>
      <c r="M2" s="1149" t="s">
        <v>16</v>
      </c>
    </row>
    <row r="3" spans="1:14" s="1" customFormat="1" ht="30.75" thickBot="1">
      <c r="A3" s="1149"/>
      <c r="B3" s="1149"/>
      <c r="C3" s="1149"/>
      <c r="D3" s="61" t="s">
        <v>7</v>
      </c>
      <c r="E3" s="61" t="s">
        <v>8</v>
      </c>
      <c r="F3" s="61" t="s">
        <v>89</v>
      </c>
      <c r="G3" s="61" t="s">
        <v>1</v>
      </c>
      <c r="H3" s="1149"/>
      <c r="I3" s="1149"/>
      <c r="J3" s="1149"/>
      <c r="K3" s="1149"/>
      <c r="L3" s="1149"/>
      <c r="M3" s="1149"/>
    </row>
    <row r="4" spans="1:14" s="67" customFormat="1" ht="15.75" thickBot="1">
      <c r="A4" s="62">
        <v>1</v>
      </c>
      <c r="B4" s="557" t="s">
        <v>90</v>
      </c>
      <c r="C4" s="558">
        <f>'[25]Yield Improvememnt'!$BH$5</f>
        <v>5.1636157961142892</v>
      </c>
      <c r="D4" s="558">
        <v>0</v>
      </c>
      <c r="E4" s="558">
        <v>0</v>
      </c>
      <c r="F4" s="377">
        <f>C4-D4</f>
        <v>5.1636157961142892</v>
      </c>
      <c r="G4" s="64">
        <v>0.5</v>
      </c>
      <c r="H4" s="65" t="s">
        <v>91</v>
      </c>
      <c r="I4" s="63" t="s">
        <v>92</v>
      </c>
      <c r="J4" s="63" t="s">
        <v>93</v>
      </c>
      <c r="K4" s="63" t="s">
        <v>94</v>
      </c>
      <c r="L4" s="63" t="s">
        <v>95</v>
      </c>
      <c r="M4" s="63"/>
      <c r="N4" s="66"/>
    </row>
    <row r="5" spans="1:14" s="67" customFormat="1" ht="15.75" thickBot="1">
      <c r="A5" s="62">
        <f>+A4+1</f>
        <v>2</v>
      </c>
      <c r="B5" s="557" t="s">
        <v>96</v>
      </c>
      <c r="C5" s="558">
        <f>'[25]Yield Improvememnt'!$BH$7</f>
        <v>5.2418523990857118</v>
      </c>
      <c r="D5" s="558">
        <v>3.96</v>
      </c>
      <c r="E5" s="558">
        <v>0.2</v>
      </c>
      <c r="F5" s="377">
        <f>C5-D5</f>
        <v>1.2818523990857118</v>
      </c>
      <c r="G5" s="64">
        <v>1</v>
      </c>
      <c r="H5" s="68" t="s">
        <v>97</v>
      </c>
      <c r="I5" s="63" t="s">
        <v>98</v>
      </c>
      <c r="J5" s="63" t="s">
        <v>93</v>
      </c>
      <c r="K5" s="62"/>
      <c r="L5" s="128" t="s">
        <v>99</v>
      </c>
      <c r="M5" s="63"/>
      <c r="N5" s="66"/>
    </row>
    <row r="6" spans="1:14" s="67" customFormat="1" ht="15.75" thickBot="1">
      <c r="A6" s="62">
        <f t="shared" ref="A6:A17" si="0">+A5+1</f>
        <v>3</v>
      </c>
      <c r="B6" s="557" t="s">
        <v>100</v>
      </c>
      <c r="C6" s="558">
        <f>'[25]Yield Improvememnt'!$BH$9</f>
        <v>3.2155749287999988</v>
      </c>
      <c r="D6" s="558">
        <v>2.2400000000000002</v>
      </c>
      <c r="E6" s="558">
        <v>0.06</v>
      </c>
      <c r="F6" s="377">
        <f t="shared" ref="F6:F34" si="1">C6-D6</f>
        <v>0.97557492879999863</v>
      </c>
      <c r="G6" s="64">
        <v>1</v>
      </c>
      <c r="H6" s="68" t="s">
        <v>97</v>
      </c>
      <c r="I6" s="63" t="s">
        <v>98</v>
      </c>
      <c r="J6" s="63" t="s">
        <v>93</v>
      </c>
      <c r="K6" s="62"/>
      <c r="L6" s="128" t="s">
        <v>99</v>
      </c>
      <c r="M6" s="127"/>
      <c r="N6" s="66"/>
    </row>
    <row r="7" spans="1:14" s="67" customFormat="1" ht="15.75" thickBot="1">
      <c r="A7" s="62">
        <f t="shared" si="0"/>
        <v>4</v>
      </c>
      <c r="B7" s="557" t="s">
        <v>101</v>
      </c>
      <c r="C7" s="558">
        <f>'[25]Yield Improvememnt'!$BH$11</f>
        <v>3.6929572011428573</v>
      </c>
      <c r="D7" s="558">
        <v>0</v>
      </c>
      <c r="E7" s="558">
        <v>0</v>
      </c>
      <c r="F7" s="377">
        <f t="shared" si="1"/>
        <v>3.6929572011428573</v>
      </c>
      <c r="G7" s="64">
        <v>0.5</v>
      </c>
      <c r="H7" s="65" t="s">
        <v>91</v>
      </c>
      <c r="I7" s="63" t="s">
        <v>92</v>
      </c>
      <c r="J7" s="63" t="s">
        <v>93</v>
      </c>
      <c r="K7" s="63" t="s">
        <v>94</v>
      </c>
      <c r="L7" s="63" t="s">
        <v>95</v>
      </c>
      <c r="M7" s="63"/>
      <c r="N7" s="66"/>
    </row>
    <row r="8" spans="1:14" s="67" customFormat="1" ht="15.75" thickBot="1">
      <c r="A8" s="62">
        <f t="shared" si="0"/>
        <v>5</v>
      </c>
      <c r="B8" s="557" t="s">
        <v>102</v>
      </c>
      <c r="C8" s="558">
        <f>'[25]Yield Improvememnt'!$BH$13</f>
        <v>2.234624490057143</v>
      </c>
      <c r="D8" s="558">
        <v>0</v>
      </c>
      <c r="E8" s="558">
        <v>0</v>
      </c>
      <c r="F8" s="377">
        <f t="shared" si="1"/>
        <v>2.234624490057143</v>
      </c>
      <c r="G8" s="64">
        <v>0.5</v>
      </c>
      <c r="H8" s="65" t="s">
        <v>91</v>
      </c>
      <c r="I8" s="63" t="s">
        <v>92</v>
      </c>
      <c r="J8" s="63" t="s">
        <v>93</v>
      </c>
      <c r="K8" s="63" t="s">
        <v>94</v>
      </c>
      <c r="L8" s="63" t="s">
        <v>95</v>
      </c>
      <c r="M8" s="63"/>
      <c r="N8" s="66"/>
    </row>
    <row r="9" spans="1:14" s="67" customFormat="1" ht="15.75" thickBot="1">
      <c r="A9" s="62">
        <f t="shared" si="0"/>
        <v>6</v>
      </c>
      <c r="B9" s="557" t="s">
        <v>103</v>
      </c>
      <c r="C9" s="558">
        <f>'[25]Yield Improvememnt'!$BH$15</f>
        <v>1.5286191328571421</v>
      </c>
      <c r="D9" s="558">
        <v>0.69</v>
      </c>
      <c r="E9" s="558">
        <v>0</v>
      </c>
      <c r="F9" s="377">
        <f t="shared" si="1"/>
        <v>0.83861913285714218</v>
      </c>
      <c r="G9" s="64">
        <v>1</v>
      </c>
      <c r="H9" s="68" t="s">
        <v>97</v>
      </c>
      <c r="I9" s="63" t="s">
        <v>104</v>
      </c>
      <c r="J9" s="63" t="s">
        <v>93</v>
      </c>
      <c r="K9" s="62"/>
      <c r="L9" s="69">
        <v>41096</v>
      </c>
      <c r="M9" s="63"/>
      <c r="N9" s="66"/>
    </row>
    <row r="10" spans="1:14" s="67" customFormat="1" ht="15.75" thickBot="1">
      <c r="A10" s="62">
        <f t="shared" si="0"/>
        <v>7</v>
      </c>
      <c r="B10" s="557" t="s">
        <v>105</v>
      </c>
      <c r="C10" s="558">
        <v>0.98</v>
      </c>
      <c r="D10" s="558">
        <v>0.85</v>
      </c>
      <c r="E10" s="558">
        <v>0</v>
      </c>
      <c r="F10" s="377">
        <f t="shared" si="1"/>
        <v>0.13</v>
      </c>
      <c r="G10" s="64">
        <v>1</v>
      </c>
      <c r="H10" s="68" t="s">
        <v>97</v>
      </c>
      <c r="I10" s="63" t="s">
        <v>104</v>
      </c>
      <c r="J10" s="63" t="s">
        <v>93</v>
      </c>
      <c r="K10" s="62"/>
      <c r="L10" s="69">
        <v>41096</v>
      </c>
      <c r="M10" s="63"/>
      <c r="N10" s="66"/>
    </row>
    <row r="11" spans="1:14" s="67" customFormat="1" ht="15.75" customHeight="1" thickBot="1">
      <c r="A11" s="62">
        <f t="shared" si="0"/>
        <v>8</v>
      </c>
      <c r="B11" s="557" t="s">
        <v>106</v>
      </c>
      <c r="C11" s="558">
        <f>'[25]Yield Improvememnt'!$BH$19</f>
        <v>2.2255948000000001</v>
      </c>
      <c r="D11" s="558">
        <v>1.1100000000000001</v>
      </c>
      <c r="E11" s="558">
        <v>0</v>
      </c>
      <c r="F11" s="377">
        <f t="shared" si="1"/>
        <v>1.1155948</v>
      </c>
      <c r="G11" s="64">
        <v>1</v>
      </c>
      <c r="H11" s="68" t="s">
        <v>97</v>
      </c>
      <c r="I11" s="63" t="s">
        <v>104</v>
      </c>
      <c r="J11" s="63" t="s">
        <v>93</v>
      </c>
      <c r="K11" s="62"/>
      <c r="L11" s="69">
        <v>41096</v>
      </c>
      <c r="M11" s="63"/>
      <c r="N11" s="66"/>
    </row>
    <row r="12" spans="1:14" s="67" customFormat="1" ht="15.75" thickBot="1">
      <c r="A12" s="62">
        <f t="shared" si="0"/>
        <v>9</v>
      </c>
      <c r="B12" s="557" t="s">
        <v>107</v>
      </c>
      <c r="C12" s="558">
        <f>'[25]Yield Improvememnt'!$BH$21</f>
        <v>1.8952188617142869</v>
      </c>
      <c r="D12" s="558">
        <v>0.72</v>
      </c>
      <c r="E12" s="558">
        <v>0</v>
      </c>
      <c r="F12" s="377">
        <f t="shared" si="1"/>
        <v>1.1752188617142869</v>
      </c>
      <c r="G12" s="64">
        <v>1</v>
      </c>
      <c r="H12" s="68" t="s">
        <v>97</v>
      </c>
      <c r="I12" s="63" t="s">
        <v>104</v>
      </c>
      <c r="J12" s="63" t="s">
        <v>93</v>
      </c>
      <c r="K12" s="62"/>
      <c r="L12" s="69">
        <v>41096</v>
      </c>
      <c r="M12" s="63"/>
      <c r="N12" s="66"/>
    </row>
    <row r="13" spans="1:14" s="67" customFormat="1" ht="15.75" thickBot="1">
      <c r="A13" s="62">
        <f t="shared" si="0"/>
        <v>10</v>
      </c>
      <c r="B13" s="557" t="s">
        <v>108</v>
      </c>
      <c r="C13" s="558">
        <v>1.4</v>
      </c>
      <c r="D13" s="558">
        <v>1.21</v>
      </c>
      <c r="E13" s="558">
        <v>0</v>
      </c>
      <c r="F13" s="377">
        <f t="shared" si="1"/>
        <v>0.18999999999999995</v>
      </c>
      <c r="G13" s="64">
        <v>1</v>
      </c>
      <c r="H13" s="68" t="s">
        <v>97</v>
      </c>
      <c r="I13" s="63" t="s">
        <v>104</v>
      </c>
      <c r="J13" s="63" t="s">
        <v>93</v>
      </c>
      <c r="K13" s="62"/>
      <c r="L13" s="69">
        <v>41096</v>
      </c>
      <c r="M13" s="63"/>
      <c r="N13" s="66"/>
    </row>
    <row r="14" spans="1:14" s="67" customFormat="1" ht="15.75" thickBot="1">
      <c r="A14" s="62">
        <f t="shared" si="0"/>
        <v>11</v>
      </c>
      <c r="B14" s="557" t="s">
        <v>109</v>
      </c>
      <c r="C14" s="558">
        <f>'[25]Yield Improvememnt'!$BH$25</f>
        <v>0.93514088571428622</v>
      </c>
      <c r="D14" s="558">
        <v>0</v>
      </c>
      <c r="E14" s="558">
        <v>0</v>
      </c>
      <c r="F14" s="377">
        <f t="shared" si="1"/>
        <v>0.93514088571428622</v>
      </c>
      <c r="G14" s="64">
        <v>0.5</v>
      </c>
      <c r="H14" s="65" t="s">
        <v>91</v>
      </c>
      <c r="I14" s="63" t="s">
        <v>92</v>
      </c>
      <c r="J14" s="63" t="s">
        <v>93</v>
      </c>
      <c r="K14" s="63" t="s">
        <v>94</v>
      </c>
      <c r="L14" s="63" t="s">
        <v>95</v>
      </c>
      <c r="M14" s="63"/>
      <c r="N14" s="66"/>
    </row>
    <row r="15" spans="1:14" s="67" customFormat="1" ht="15.75" thickBot="1">
      <c r="A15" s="62">
        <f t="shared" si="0"/>
        <v>12</v>
      </c>
      <c r="B15" s="557" t="s">
        <v>110</v>
      </c>
      <c r="C15" s="558">
        <v>1.57</v>
      </c>
      <c r="D15" s="558">
        <v>1.4</v>
      </c>
      <c r="E15" s="558">
        <v>0</v>
      </c>
      <c r="F15" s="377">
        <f t="shared" si="1"/>
        <v>0.17000000000000015</v>
      </c>
      <c r="G15" s="64">
        <v>1</v>
      </c>
      <c r="H15" s="68" t="s">
        <v>97</v>
      </c>
      <c r="I15" s="63" t="s">
        <v>104</v>
      </c>
      <c r="J15" s="63" t="s">
        <v>93</v>
      </c>
      <c r="K15" s="62"/>
      <c r="L15" s="69">
        <v>41096</v>
      </c>
      <c r="M15" s="63"/>
      <c r="N15" s="66"/>
    </row>
    <row r="16" spans="1:14" s="67" customFormat="1" ht="15.75" thickBot="1">
      <c r="A16" s="62">
        <f t="shared" si="0"/>
        <v>13</v>
      </c>
      <c r="B16" s="557" t="s">
        <v>111</v>
      </c>
      <c r="C16" s="558">
        <f>'[25]Yield Improvememnt'!$BH$29</f>
        <v>4.1146198971428616</v>
      </c>
      <c r="D16" s="558">
        <v>2.3199999999999998</v>
      </c>
      <c r="E16" s="558">
        <v>0</v>
      </c>
      <c r="F16" s="377">
        <f t="shared" si="1"/>
        <v>1.7946198971428617</v>
      </c>
      <c r="G16" s="64">
        <v>1</v>
      </c>
      <c r="H16" s="68" t="s">
        <v>97</v>
      </c>
      <c r="I16" s="63" t="s">
        <v>104</v>
      </c>
      <c r="J16" s="63" t="s">
        <v>93</v>
      </c>
      <c r="K16" s="62"/>
      <c r="L16" s="69">
        <v>41096</v>
      </c>
      <c r="M16" s="63"/>
      <c r="N16" s="66"/>
    </row>
    <row r="17" spans="1:14" s="67" customFormat="1" ht="15.75" thickBot="1">
      <c r="A17" s="62">
        <f t="shared" si="0"/>
        <v>14</v>
      </c>
      <c r="B17" s="557" t="s">
        <v>112</v>
      </c>
      <c r="C17" s="558">
        <f>'[25]Yield Improvememnt'!$BH$31</f>
        <v>2.1515065817142864</v>
      </c>
      <c r="D17" s="558">
        <v>0</v>
      </c>
      <c r="E17" s="558">
        <v>0</v>
      </c>
      <c r="F17" s="377">
        <f t="shared" si="1"/>
        <v>2.1515065817142864</v>
      </c>
      <c r="G17" s="64">
        <v>0.5</v>
      </c>
      <c r="H17" s="65" t="s">
        <v>91</v>
      </c>
      <c r="I17" s="63" t="s">
        <v>92</v>
      </c>
      <c r="J17" s="63" t="s">
        <v>93</v>
      </c>
      <c r="K17" s="62"/>
      <c r="L17" s="69">
        <v>41096</v>
      </c>
      <c r="M17" s="63"/>
      <c r="N17" s="66"/>
    </row>
    <row r="18" spans="1:14" s="73" customFormat="1" ht="15.75" thickBot="1">
      <c r="A18" s="70">
        <v>15</v>
      </c>
      <c r="B18" s="560" t="s">
        <v>113</v>
      </c>
      <c r="C18" s="563">
        <v>9.6999999999999993</v>
      </c>
      <c r="D18" s="563">
        <v>7.75</v>
      </c>
      <c r="E18" s="558">
        <v>0</v>
      </c>
      <c r="F18" s="377">
        <f t="shared" si="1"/>
        <v>1.9499999999999993</v>
      </c>
      <c r="G18" s="64">
        <v>0.7</v>
      </c>
      <c r="H18" s="65" t="s">
        <v>91</v>
      </c>
      <c r="I18" s="71" t="s">
        <v>114</v>
      </c>
      <c r="J18" s="63" t="s">
        <v>93</v>
      </c>
      <c r="K18" s="1150" t="s">
        <v>115</v>
      </c>
      <c r="L18" s="72">
        <v>41188</v>
      </c>
      <c r="M18" s="63"/>
    </row>
    <row r="19" spans="1:14" s="73" customFormat="1" ht="15.75" thickBot="1">
      <c r="A19" s="70">
        <v>16</v>
      </c>
      <c r="B19" s="560" t="s">
        <v>116</v>
      </c>
      <c r="C19" s="563">
        <v>4.26</v>
      </c>
      <c r="D19" s="563">
        <v>3.38</v>
      </c>
      <c r="E19" s="558">
        <v>0</v>
      </c>
      <c r="F19" s="377">
        <f t="shared" si="1"/>
        <v>0.87999999999999989</v>
      </c>
      <c r="G19" s="64">
        <v>0.7</v>
      </c>
      <c r="H19" s="65" t="s">
        <v>91</v>
      </c>
      <c r="I19" s="71" t="s">
        <v>114</v>
      </c>
      <c r="J19" s="63" t="s">
        <v>93</v>
      </c>
      <c r="K19" s="1151"/>
      <c r="L19" s="72">
        <v>41188</v>
      </c>
      <c r="M19" s="63"/>
    </row>
    <row r="20" spans="1:14" s="73" customFormat="1" ht="15.75" thickBot="1">
      <c r="A20" s="70">
        <v>17</v>
      </c>
      <c r="B20" s="560" t="s">
        <v>117</v>
      </c>
      <c r="C20" s="563">
        <v>0.4</v>
      </c>
      <c r="D20" s="563">
        <v>0.32</v>
      </c>
      <c r="E20" s="558">
        <v>0</v>
      </c>
      <c r="F20" s="377">
        <f t="shared" si="1"/>
        <v>8.0000000000000016E-2</v>
      </c>
      <c r="G20" s="64">
        <v>0.7</v>
      </c>
      <c r="H20" s="65" t="s">
        <v>91</v>
      </c>
      <c r="I20" s="71" t="s">
        <v>118</v>
      </c>
      <c r="J20" s="63" t="s">
        <v>93</v>
      </c>
      <c r="K20" s="1151"/>
      <c r="L20" s="72">
        <v>41188</v>
      </c>
      <c r="M20" s="63"/>
    </row>
    <row r="21" spans="1:14" s="73" customFormat="1" ht="15.75" thickBot="1">
      <c r="A21" s="70">
        <v>18</v>
      </c>
      <c r="B21" s="560" t="s">
        <v>119</v>
      </c>
      <c r="C21" s="563">
        <v>0.6</v>
      </c>
      <c r="D21" s="563">
        <v>0.53</v>
      </c>
      <c r="E21" s="558">
        <v>0</v>
      </c>
      <c r="F21" s="377">
        <f t="shared" si="1"/>
        <v>6.9999999999999951E-2</v>
      </c>
      <c r="G21" s="64">
        <v>0.7</v>
      </c>
      <c r="H21" s="65" t="s">
        <v>91</v>
      </c>
      <c r="I21" s="71" t="s">
        <v>118</v>
      </c>
      <c r="J21" s="63" t="s">
        <v>93</v>
      </c>
      <c r="K21" s="1151"/>
      <c r="L21" s="72">
        <v>41188</v>
      </c>
      <c r="M21" s="63"/>
    </row>
    <row r="22" spans="1:14" ht="15.75" thickBot="1">
      <c r="A22" s="62">
        <v>19</v>
      </c>
      <c r="B22" s="559" t="s">
        <v>120</v>
      </c>
      <c r="C22" s="558">
        <v>1.1000000000000001</v>
      </c>
      <c r="D22" s="558">
        <v>0.95</v>
      </c>
      <c r="E22" s="558">
        <v>0</v>
      </c>
      <c r="F22" s="377">
        <f t="shared" si="1"/>
        <v>0.15000000000000013</v>
      </c>
      <c r="G22" s="64">
        <v>0.5</v>
      </c>
      <c r="H22" s="65" t="s">
        <v>91</v>
      </c>
      <c r="I22" s="71" t="s">
        <v>121</v>
      </c>
      <c r="J22" s="63" t="s">
        <v>93</v>
      </c>
      <c r="K22" s="1151"/>
      <c r="L22" s="72">
        <v>41188</v>
      </c>
      <c r="M22" s="63"/>
    </row>
    <row r="23" spans="1:14" ht="15.75" thickBot="1">
      <c r="A23" s="62">
        <v>20</v>
      </c>
      <c r="B23" s="559" t="s">
        <v>122</v>
      </c>
      <c r="C23" s="558">
        <v>0</v>
      </c>
      <c r="D23" s="558">
        <v>0</v>
      </c>
      <c r="E23" s="558">
        <v>0</v>
      </c>
      <c r="F23" s="377">
        <f t="shared" si="1"/>
        <v>0</v>
      </c>
      <c r="G23" s="64">
        <v>0.5</v>
      </c>
      <c r="H23" s="65" t="s">
        <v>91</v>
      </c>
      <c r="I23" s="71" t="s">
        <v>121</v>
      </c>
      <c r="J23" s="63" t="s">
        <v>93</v>
      </c>
      <c r="K23" s="1151"/>
      <c r="L23" s="72">
        <v>41188</v>
      </c>
      <c r="M23" s="63"/>
    </row>
    <row r="24" spans="1:14" ht="15.75" thickBot="1">
      <c r="A24" s="70">
        <v>21</v>
      </c>
      <c r="B24" s="559" t="s">
        <v>123</v>
      </c>
      <c r="C24" s="558">
        <v>0.15</v>
      </c>
      <c r="D24" s="558">
        <v>0.12</v>
      </c>
      <c r="E24" s="558">
        <v>0</v>
      </c>
      <c r="F24" s="377">
        <f t="shared" si="1"/>
        <v>0.03</v>
      </c>
      <c r="G24" s="64">
        <v>0.5</v>
      </c>
      <c r="H24" s="65" t="s">
        <v>91</v>
      </c>
      <c r="I24" s="71" t="s">
        <v>124</v>
      </c>
      <c r="J24" s="63" t="s">
        <v>93</v>
      </c>
      <c r="K24" s="1151"/>
      <c r="L24" s="72">
        <v>41188</v>
      </c>
      <c r="M24" s="63"/>
    </row>
    <row r="25" spans="1:14" ht="15.75" thickBot="1">
      <c r="A25" s="70">
        <v>22</v>
      </c>
      <c r="B25" s="559" t="s">
        <v>125</v>
      </c>
      <c r="C25" s="558">
        <v>0.15</v>
      </c>
      <c r="D25" s="558">
        <v>0.12</v>
      </c>
      <c r="E25" s="558">
        <v>0</v>
      </c>
      <c r="F25" s="377">
        <f t="shared" si="1"/>
        <v>0.03</v>
      </c>
      <c r="G25" s="64">
        <v>0.5</v>
      </c>
      <c r="H25" s="65" t="s">
        <v>91</v>
      </c>
      <c r="I25" s="71" t="s">
        <v>124</v>
      </c>
      <c r="J25" s="63" t="s">
        <v>93</v>
      </c>
      <c r="K25" s="1151"/>
      <c r="L25" s="72">
        <v>41188</v>
      </c>
      <c r="M25" s="63"/>
    </row>
    <row r="26" spans="1:14" ht="15.75" thickBot="1">
      <c r="A26" s="62">
        <v>23</v>
      </c>
      <c r="B26" s="559" t="s">
        <v>126</v>
      </c>
      <c r="C26" s="558">
        <v>0.27</v>
      </c>
      <c r="D26" s="558">
        <v>0.22</v>
      </c>
      <c r="E26" s="558">
        <v>0</v>
      </c>
      <c r="F26" s="377">
        <f t="shared" si="1"/>
        <v>5.0000000000000017E-2</v>
      </c>
      <c r="G26" s="64">
        <v>0.5</v>
      </c>
      <c r="H26" s="65" t="s">
        <v>91</v>
      </c>
      <c r="I26" s="71" t="s">
        <v>124</v>
      </c>
      <c r="J26" s="63" t="s">
        <v>93</v>
      </c>
      <c r="K26" s="1151"/>
      <c r="L26" s="72">
        <v>41188</v>
      </c>
      <c r="M26" s="63"/>
    </row>
    <row r="27" spans="1:14" ht="15.75" thickBot="1">
      <c r="A27" s="62">
        <v>24</v>
      </c>
      <c r="B27" s="559" t="s">
        <v>127</v>
      </c>
      <c r="C27" s="558">
        <v>0.27</v>
      </c>
      <c r="D27" s="558">
        <v>0.26</v>
      </c>
      <c r="E27" s="558">
        <v>0</v>
      </c>
      <c r="F27" s="377">
        <f t="shared" si="1"/>
        <v>1.0000000000000009E-2</v>
      </c>
      <c r="G27" s="64">
        <v>0.5</v>
      </c>
      <c r="H27" s="65" t="s">
        <v>91</v>
      </c>
      <c r="I27" s="71" t="s">
        <v>124</v>
      </c>
      <c r="J27" s="63" t="s">
        <v>93</v>
      </c>
      <c r="K27" s="1151"/>
      <c r="L27" s="72">
        <v>41188</v>
      </c>
      <c r="M27" s="63"/>
    </row>
    <row r="28" spans="1:14" ht="15.75" thickBot="1">
      <c r="A28" s="70">
        <v>25</v>
      </c>
      <c r="B28" s="559" t="s">
        <v>128</v>
      </c>
      <c r="C28" s="558">
        <v>0.5</v>
      </c>
      <c r="D28" s="558">
        <v>0.32</v>
      </c>
      <c r="E28" s="558">
        <v>0</v>
      </c>
      <c r="F28" s="377">
        <f t="shared" si="1"/>
        <v>0.18</v>
      </c>
      <c r="G28" s="64">
        <v>0.5</v>
      </c>
      <c r="H28" s="65" t="s">
        <v>91</v>
      </c>
      <c r="I28" s="71" t="s">
        <v>124</v>
      </c>
      <c r="J28" s="63" t="s">
        <v>93</v>
      </c>
      <c r="K28" s="1151"/>
      <c r="L28" s="72">
        <v>41188</v>
      </c>
      <c r="M28" s="63"/>
    </row>
    <row r="29" spans="1:14" ht="15.75" thickBot="1">
      <c r="A29" s="62">
        <v>26</v>
      </c>
      <c r="B29" s="561" t="s">
        <v>498</v>
      </c>
      <c r="C29" s="558">
        <v>2</v>
      </c>
      <c r="D29" s="558">
        <v>1.58</v>
      </c>
      <c r="E29" s="558"/>
      <c r="F29" s="377">
        <f t="shared" si="1"/>
        <v>0.41999999999999993</v>
      </c>
      <c r="G29" s="64"/>
      <c r="H29" s="65"/>
      <c r="I29" s="390"/>
      <c r="J29" s="63"/>
      <c r="K29" s="1151"/>
      <c r="L29" s="72"/>
      <c r="M29" s="63"/>
    </row>
    <row r="30" spans="1:14" ht="30.75" thickBot="1">
      <c r="A30" s="62">
        <v>27</v>
      </c>
      <c r="B30" s="562" t="s">
        <v>501</v>
      </c>
      <c r="C30" s="558">
        <v>0.85</v>
      </c>
      <c r="D30" s="558">
        <v>0.68</v>
      </c>
      <c r="E30" s="558"/>
      <c r="F30" s="377">
        <f t="shared" si="1"/>
        <v>0.16999999999999993</v>
      </c>
      <c r="G30" s="64"/>
      <c r="H30" s="65"/>
      <c r="I30" s="390"/>
      <c r="J30" s="63"/>
      <c r="K30" s="1151"/>
      <c r="L30" s="72"/>
      <c r="M30" s="63"/>
    </row>
    <row r="31" spans="1:14" ht="15.75" thickBot="1">
      <c r="A31" s="391">
        <v>28</v>
      </c>
      <c r="B31" s="562" t="s">
        <v>499</v>
      </c>
      <c r="C31" s="558">
        <v>0.21</v>
      </c>
      <c r="D31" s="558">
        <v>0.18</v>
      </c>
      <c r="E31" s="558"/>
      <c r="F31" s="377">
        <f t="shared" si="1"/>
        <v>0.03</v>
      </c>
      <c r="G31" s="64"/>
      <c r="H31" s="65"/>
      <c r="I31" s="390"/>
      <c r="J31" s="63"/>
      <c r="K31" s="1151"/>
      <c r="L31" s="72"/>
      <c r="M31" s="63"/>
    </row>
    <row r="32" spans="1:14" ht="30.75" thickBot="1">
      <c r="A32" s="62">
        <v>29</v>
      </c>
      <c r="B32" s="562" t="s">
        <v>502</v>
      </c>
      <c r="C32" s="558">
        <v>1.18</v>
      </c>
      <c r="D32" s="558">
        <v>0.94</v>
      </c>
      <c r="E32" s="558"/>
      <c r="F32" s="377">
        <f t="shared" si="1"/>
        <v>0.24</v>
      </c>
      <c r="G32" s="64"/>
      <c r="H32" s="65"/>
      <c r="I32" s="390"/>
      <c r="J32" s="63"/>
      <c r="K32" s="1151"/>
      <c r="L32" s="72"/>
      <c r="M32" s="63"/>
    </row>
    <row r="33" spans="1:13" ht="15.75" thickBot="1">
      <c r="A33" s="62">
        <v>30</v>
      </c>
      <c r="B33" s="562" t="s">
        <v>500</v>
      </c>
      <c r="C33" s="558">
        <v>0.16</v>
      </c>
      <c r="D33" s="558"/>
      <c r="E33" s="558"/>
      <c r="F33" s="377">
        <f t="shared" si="1"/>
        <v>0.16</v>
      </c>
      <c r="G33" s="64"/>
      <c r="H33" s="65"/>
      <c r="I33" s="390"/>
      <c r="J33" s="63"/>
      <c r="K33" s="1151"/>
      <c r="L33" s="72"/>
      <c r="M33" s="63"/>
    </row>
    <row r="34" spans="1:13" ht="15.75" thickBot="1">
      <c r="A34" s="391"/>
      <c r="B34" s="62"/>
      <c r="C34" s="377"/>
      <c r="D34" s="377"/>
      <c r="E34" s="377"/>
      <c r="F34" s="377">
        <f t="shared" si="1"/>
        <v>0</v>
      </c>
      <c r="G34" s="64"/>
      <c r="H34" s="65"/>
      <c r="I34" s="390"/>
      <c r="J34" s="63"/>
      <c r="K34" s="1152"/>
      <c r="L34" s="72"/>
      <c r="M34" s="63"/>
    </row>
    <row r="35" spans="1:13" ht="22.5" customHeight="1" thickBot="1">
      <c r="B35" s="74" t="s">
        <v>129</v>
      </c>
      <c r="C35" s="380">
        <f>SUM(C4:C33)</f>
        <v>58.149324974342868</v>
      </c>
      <c r="D35" s="380">
        <f>SUM(D4:D33)</f>
        <v>31.850000000000005</v>
      </c>
      <c r="E35" s="380">
        <f>SUM(E4:E33)</f>
        <v>0.26</v>
      </c>
      <c r="F35" s="380">
        <f>SUM(F4:F33)</f>
        <v>26.299324974342873</v>
      </c>
      <c r="L35" s="72"/>
      <c r="M35" s="63"/>
    </row>
    <row r="36" spans="1:13" ht="37.5" customHeight="1" thickBot="1">
      <c r="A36" s="1146" t="s">
        <v>150</v>
      </c>
      <c r="B36" s="1147"/>
      <c r="C36" s="1147"/>
      <c r="D36" s="1147"/>
      <c r="E36" s="1147"/>
      <c r="F36" s="1147"/>
      <c r="G36" s="1147"/>
      <c r="H36" s="1147"/>
      <c r="I36" s="1147"/>
      <c r="J36" s="1147"/>
      <c r="K36" s="1147"/>
      <c r="L36" s="1147"/>
      <c r="M36" s="1148"/>
    </row>
    <row r="37" spans="1:13" ht="60.75" customHeight="1" thickBot="1">
      <c r="A37" s="118">
        <v>1</v>
      </c>
      <c r="B37" s="131" t="s">
        <v>165</v>
      </c>
      <c r="C37" s="364">
        <f>2260000/100000</f>
        <v>22.6</v>
      </c>
      <c r="D37" s="389">
        <v>21.6</v>
      </c>
      <c r="E37" s="378">
        <v>7.0000000000000007E-2</v>
      </c>
      <c r="F37" s="364">
        <f>C37-E37</f>
        <v>22.53</v>
      </c>
      <c r="G37" s="129"/>
      <c r="H37" s="130" t="s">
        <v>91</v>
      </c>
      <c r="I37" s="137" t="s">
        <v>167</v>
      </c>
      <c r="J37" s="136" t="s">
        <v>170</v>
      </c>
      <c r="K37" s="137" t="s">
        <v>171</v>
      </c>
      <c r="L37" s="136"/>
      <c r="M37" s="136"/>
    </row>
    <row r="38" spans="1:13" ht="45">
      <c r="A38" s="135">
        <v>2</v>
      </c>
      <c r="B38" s="132" t="s">
        <v>166</v>
      </c>
      <c r="C38" s="364">
        <f>1173000/100000</f>
        <v>11.73</v>
      </c>
      <c r="D38" s="389">
        <v>8.73</v>
      </c>
      <c r="E38" s="378">
        <f>'[25]Process Improvement'!$K$16</f>
        <v>0</v>
      </c>
      <c r="F38" s="364">
        <f>C38-E38</f>
        <v>11.73</v>
      </c>
      <c r="G38" s="129"/>
      <c r="H38" s="130" t="s">
        <v>91</v>
      </c>
      <c r="I38" s="136" t="s">
        <v>168</v>
      </c>
      <c r="J38" s="136"/>
      <c r="K38" s="136" t="s">
        <v>172</v>
      </c>
      <c r="L38" s="136"/>
      <c r="M38" s="136"/>
    </row>
    <row r="39" spans="1:13" ht="59.25" customHeight="1" thickBot="1">
      <c r="A39" s="388">
        <v>3</v>
      </c>
      <c r="B39" s="133" t="s">
        <v>389</v>
      </c>
      <c r="C39" s="364">
        <f>1230000/100000</f>
        <v>12.3</v>
      </c>
      <c r="D39" s="389">
        <f>1230000/100000</f>
        <v>12.3</v>
      </c>
      <c r="E39" s="378">
        <v>1.39</v>
      </c>
      <c r="F39" s="364">
        <f>C39-E39</f>
        <v>10.91</v>
      </c>
      <c r="G39" s="129"/>
      <c r="H39" s="130" t="s">
        <v>91</v>
      </c>
      <c r="I39" s="136"/>
      <c r="J39" s="136"/>
      <c r="K39" s="136"/>
      <c r="L39" s="136"/>
      <c r="M39" s="136"/>
    </row>
    <row r="40" spans="1:13" ht="32.25" customHeight="1">
      <c r="A40" s="135">
        <v>4</v>
      </c>
      <c r="B40" s="134" t="s">
        <v>386</v>
      </c>
      <c r="C40" s="364">
        <f>235000/100000</f>
        <v>2.35</v>
      </c>
      <c r="D40" s="389">
        <f>135000/100000</f>
        <v>1.35</v>
      </c>
      <c r="E40" s="378">
        <f>'[25]Process Improvement'!$K$20</f>
        <v>0</v>
      </c>
      <c r="F40" s="364">
        <f>C40-E40</f>
        <v>2.35</v>
      </c>
      <c r="G40" s="129"/>
      <c r="H40" s="130" t="s">
        <v>91</v>
      </c>
      <c r="I40" s="136" t="s">
        <v>169</v>
      </c>
      <c r="J40" s="136" t="s">
        <v>170</v>
      </c>
      <c r="K40" s="136" t="s">
        <v>172</v>
      </c>
      <c r="L40" s="136"/>
      <c r="M40" s="136"/>
    </row>
    <row r="41" spans="1:13" ht="48" customHeight="1">
      <c r="A41" s="482">
        <v>5</v>
      </c>
      <c r="B41" s="483" t="s">
        <v>387</v>
      </c>
      <c r="C41" s="484">
        <f>235000/100000</f>
        <v>2.35</v>
      </c>
      <c r="D41" s="484">
        <f>D40</f>
        <v>1.35</v>
      </c>
      <c r="E41" s="485">
        <f>'[25]Process Improvement'!$K$22</f>
        <v>0</v>
      </c>
      <c r="F41" s="484">
        <f>C41-E41</f>
        <v>2.35</v>
      </c>
      <c r="G41" s="486"/>
      <c r="H41" s="487" t="s">
        <v>91</v>
      </c>
      <c r="I41" s="488" t="s">
        <v>169</v>
      </c>
      <c r="J41" s="488" t="s">
        <v>170</v>
      </c>
      <c r="K41" s="488" t="s">
        <v>172</v>
      </c>
      <c r="L41" s="488"/>
      <c r="M41" s="488"/>
    </row>
    <row r="42" spans="1:13" ht="48" customHeight="1" thickBot="1">
      <c r="A42" s="489">
        <v>6</v>
      </c>
      <c r="B42" s="490" t="s">
        <v>453</v>
      </c>
      <c r="C42" s="491">
        <v>8.4</v>
      </c>
      <c r="D42" s="491">
        <v>7.4</v>
      </c>
      <c r="E42" s="491">
        <v>0</v>
      </c>
      <c r="F42" s="491"/>
      <c r="G42" s="492"/>
      <c r="H42" s="493"/>
      <c r="I42" s="494"/>
      <c r="J42" s="494"/>
      <c r="K42" s="494"/>
      <c r="L42" s="494"/>
      <c r="M42" s="495"/>
    </row>
    <row r="43" spans="1:13" ht="21.75" customHeight="1" thickTop="1">
      <c r="B43" s="143" t="s">
        <v>129</v>
      </c>
      <c r="C43" s="379">
        <f>SUM(C37:C42)</f>
        <v>59.73</v>
      </c>
      <c r="D43" s="379">
        <f>SUM(D37:D42)</f>
        <v>52.730000000000004</v>
      </c>
      <c r="E43" s="379">
        <f>SUM(E37:E42)</f>
        <v>1.46</v>
      </c>
      <c r="F43" s="379">
        <f>SUM(F37:F42)</f>
        <v>49.870000000000005</v>
      </c>
    </row>
  </sheetData>
  <mergeCells count="16">
    <mergeCell ref="A36:M36"/>
    <mergeCell ref="L2:L3"/>
    <mergeCell ref="M2:M3"/>
    <mergeCell ref="K18:K34"/>
    <mergeCell ref="A1:B1"/>
    <mergeCell ref="C1:H1"/>
    <mergeCell ref="I1:J1"/>
    <mergeCell ref="L1:M1"/>
    <mergeCell ref="A2:A3"/>
    <mergeCell ref="B2:B3"/>
    <mergeCell ref="C2:C3"/>
    <mergeCell ref="D2:G2"/>
    <mergeCell ref="H2:H3"/>
    <mergeCell ref="I2:I3"/>
    <mergeCell ref="J2:J3"/>
    <mergeCell ref="K2:K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4:H12"/>
  <sheetViews>
    <sheetView workbookViewId="0">
      <selection activeCell="C10" sqref="C10"/>
    </sheetView>
  </sheetViews>
  <sheetFormatPr defaultRowHeight="15"/>
  <sheetData>
    <row r="4" spans="2:8">
      <c r="B4" t="s">
        <v>308</v>
      </c>
      <c r="C4" t="s">
        <v>309</v>
      </c>
    </row>
    <row r="5" spans="2:8">
      <c r="B5" t="s">
        <v>330</v>
      </c>
      <c r="C5">
        <v>400000</v>
      </c>
    </row>
    <row r="6" spans="2:8">
      <c r="B6" t="s">
        <v>325</v>
      </c>
      <c r="C6">
        <v>66000</v>
      </c>
    </row>
    <row r="7" spans="2:8">
      <c r="B7" t="s">
        <v>365</v>
      </c>
      <c r="C7">
        <v>55000</v>
      </c>
    </row>
    <row r="8" spans="2:8">
      <c r="B8" t="s">
        <v>334</v>
      </c>
      <c r="C8">
        <v>90000</v>
      </c>
    </row>
    <row r="9" spans="2:8">
      <c r="B9" t="s">
        <v>340</v>
      </c>
      <c r="C9">
        <v>150000</v>
      </c>
      <c r="H9">
        <f>1800*289</f>
        <v>520200</v>
      </c>
    </row>
    <row r="10" spans="2:8">
      <c r="B10" t="s">
        <v>338</v>
      </c>
      <c r="C10">
        <v>150000</v>
      </c>
    </row>
    <row r="11" spans="2:8">
      <c r="B11" t="s">
        <v>341</v>
      </c>
      <c r="C11">
        <v>85000</v>
      </c>
    </row>
    <row r="12" spans="2:8">
      <c r="B12" t="s">
        <v>366</v>
      </c>
      <c r="C12">
        <v>15000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34"/>
  <sheetViews>
    <sheetView topLeftCell="A4" workbookViewId="0">
      <selection activeCell="G34" sqref="G34"/>
    </sheetView>
  </sheetViews>
  <sheetFormatPr defaultRowHeight="15"/>
  <cols>
    <col min="2" max="2" width="13.140625" bestFit="1" customWidth="1"/>
    <col min="3" max="3" width="12" bestFit="1" customWidth="1"/>
    <col min="4" max="4" width="15" bestFit="1" customWidth="1"/>
    <col min="5" max="5" width="10.7109375" bestFit="1" customWidth="1"/>
    <col min="6" max="6" width="17" customWidth="1"/>
    <col min="7" max="7" width="12.42578125" customWidth="1"/>
    <col min="11" max="11" width="10.140625" customWidth="1"/>
    <col min="13" max="13" width="15.5703125" bestFit="1" customWidth="1"/>
    <col min="14" max="14" width="17.42578125" bestFit="1" customWidth="1"/>
    <col min="15" max="15" width="18.42578125" bestFit="1" customWidth="1"/>
    <col min="16" max="16" width="11.5703125" bestFit="1" customWidth="1"/>
    <col min="17" max="17" width="26.85546875" bestFit="1" customWidth="1"/>
    <col min="18" max="18" width="12" bestFit="1" customWidth="1"/>
    <col min="19" max="19" width="11.42578125" bestFit="1" customWidth="1"/>
  </cols>
  <sheetData>
    <row r="1" spans="1:19" ht="32.25" customHeight="1">
      <c r="A1" s="1158" t="s">
        <v>444</v>
      </c>
      <c r="B1" s="1159"/>
      <c r="C1" s="1159"/>
      <c r="D1" s="1159"/>
      <c r="E1" s="1159"/>
      <c r="F1" s="1159"/>
      <c r="G1" s="1160"/>
    </row>
    <row r="2" spans="1:19" ht="30">
      <c r="A2" s="571" t="s">
        <v>443</v>
      </c>
      <c r="B2" s="570" t="s">
        <v>429</v>
      </c>
      <c r="C2" s="570" t="s">
        <v>430</v>
      </c>
      <c r="D2" s="570" t="s">
        <v>431</v>
      </c>
      <c r="E2" s="570" t="s">
        <v>432</v>
      </c>
      <c r="F2" s="570" t="s">
        <v>433</v>
      </c>
      <c r="G2" s="460" t="s">
        <v>133</v>
      </c>
    </row>
    <row r="3" spans="1:19">
      <c r="A3" s="1162" t="s">
        <v>434</v>
      </c>
      <c r="B3" s="104">
        <v>4</v>
      </c>
      <c r="C3" s="104">
        <v>7</v>
      </c>
      <c r="D3" s="104">
        <v>1320</v>
      </c>
      <c r="E3" s="104">
        <v>0.85</v>
      </c>
      <c r="F3" s="104">
        <f>B3*C3*D3*E3</f>
        <v>31416</v>
      </c>
      <c r="G3" s="99"/>
    </row>
    <row r="4" spans="1:19">
      <c r="A4" s="1162"/>
      <c r="B4" s="1161" t="s">
        <v>521</v>
      </c>
      <c r="C4" s="1161"/>
      <c r="D4" s="1161"/>
      <c r="E4" s="1161"/>
      <c r="F4" s="104">
        <v>21102</v>
      </c>
      <c r="G4" s="99"/>
    </row>
    <row r="5" spans="1:19">
      <c r="A5" s="1162"/>
      <c r="B5" s="1161" t="s">
        <v>522</v>
      </c>
      <c r="C5" s="1161"/>
      <c r="D5" s="1161"/>
      <c r="E5" s="1161"/>
      <c r="F5" s="104">
        <f>F3-F4</f>
        <v>10314</v>
      </c>
      <c r="G5" s="99"/>
    </row>
    <row r="6" spans="1:19">
      <c r="A6" s="1162"/>
      <c r="B6" s="1161" t="s">
        <v>523</v>
      </c>
      <c r="C6" s="1161"/>
      <c r="D6" s="1161"/>
      <c r="E6" s="1161"/>
      <c r="F6" s="456">
        <f>F5/B3/7/E3</f>
        <v>433.36134453781511</v>
      </c>
      <c r="G6" s="99"/>
      <c r="K6" t="s">
        <v>539</v>
      </c>
      <c r="L6" t="s">
        <v>309</v>
      </c>
      <c r="M6" t="s">
        <v>540</v>
      </c>
      <c r="N6" t="s">
        <v>541</v>
      </c>
      <c r="O6" t="s">
        <v>542</v>
      </c>
      <c r="P6" t="s">
        <v>438</v>
      </c>
      <c r="Q6" t="s">
        <v>543</v>
      </c>
      <c r="R6" t="s">
        <v>454</v>
      </c>
      <c r="S6" t="s">
        <v>544</v>
      </c>
    </row>
    <row r="7" spans="1:19">
      <c r="A7" s="1162"/>
      <c r="B7" s="1161" t="s">
        <v>524</v>
      </c>
      <c r="C7" s="1161"/>
      <c r="D7" s="1161"/>
      <c r="E7" s="1161"/>
      <c r="F7" s="457">
        <f>F5/B3/12/E3</f>
        <v>252.79411764705884</v>
      </c>
      <c r="G7" s="99"/>
      <c r="K7" s="88">
        <v>5</v>
      </c>
      <c r="L7" s="609">
        <f>Volume!C8/289</f>
        <v>311.41868512110727</v>
      </c>
      <c r="M7" s="609">
        <f>L7*K7</f>
        <v>1557.0934256055364</v>
      </c>
      <c r="N7" s="609">
        <f>M7/7</f>
        <v>222.44191794364806</v>
      </c>
      <c r="O7" s="609">
        <f>M7/12</f>
        <v>129.75778546712803</v>
      </c>
      <c r="P7" s="609">
        <f>N7-O7</f>
        <v>92.684132476520034</v>
      </c>
      <c r="Q7" s="609">
        <f>P7*7</f>
        <v>648.78892733564021</v>
      </c>
      <c r="R7">
        <f>Q7*5</f>
        <v>3243.9446366782013</v>
      </c>
      <c r="S7" s="88">
        <f>R7*289</f>
        <v>937500.00000000012</v>
      </c>
    </row>
    <row r="8" spans="1:19">
      <c r="A8" s="1162"/>
      <c r="B8" s="1161" t="s">
        <v>525</v>
      </c>
      <c r="C8" s="1161"/>
      <c r="D8" s="1161"/>
      <c r="E8" s="1161"/>
      <c r="F8" s="457">
        <f>F6-F7</f>
        <v>180.56722689075627</v>
      </c>
      <c r="G8" s="99"/>
    </row>
    <row r="9" spans="1:19">
      <c r="A9" s="1162"/>
      <c r="B9" s="1161" t="s">
        <v>526</v>
      </c>
      <c r="C9" s="1161"/>
      <c r="D9" s="1161"/>
      <c r="E9" s="1161"/>
      <c r="F9" s="456">
        <f>B3*12*F8*E3</f>
        <v>7367.142857142856</v>
      </c>
      <c r="G9" s="99"/>
    </row>
    <row r="10" spans="1:19">
      <c r="A10" s="1162"/>
      <c r="B10" s="1161" t="s">
        <v>440</v>
      </c>
      <c r="C10" s="1161"/>
      <c r="D10" s="1161"/>
      <c r="E10" s="1161"/>
      <c r="F10" s="104">
        <v>5</v>
      </c>
      <c r="G10" s="99"/>
    </row>
    <row r="11" spans="1:19">
      <c r="A11" s="1162"/>
      <c r="B11" s="1161" t="s">
        <v>527</v>
      </c>
      <c r="C11" s="1161"/>
      <c r="D11" s="1161"/>
      <c r="E11" s="1161"/>
      <c r="F11" s="456">
        <f>F9*F10</f>
        <v>36835.714285714283</v>
      </c>
      <c r="G11" s="99"/>
    </row>
    <row r="12" spans="1:19" ht="15.75">
      <c r="A12" s="1162"/>
      <c r="B12" s="1161" t="s">
        <v>528</v>
      </c>
      <c r="C12" s="1161"/>
      <c r="D12" s="1161"/>
      <c r="E12" s="1161"/>
      <c r="F12" s="592">
        <f>F11*289</f>
        <v>10645521.428571427</v>
      </c>
      <c r="G12" s="99"/>
    </row>
    <row r="13" spans="1:19">
      <c r="A13" s="1162"/>
      <c r="B13" s="98" t="s">
        <v>446</v>
      </c>
      <c r="C13" s="98"/>
      <c r="D13" s="98"/>
      <c r="E13" s="98"/>
      <c r="F13" s="462">
        <f>B3*8600*12*3*3</f>
        <v>3715200</v>
      </c>
      <c r="G13" s="99"/>
    </row>
    <row r="14" spans="1:19">
      <c r="A14" s="1162"/>
      <c r="B14" s="98" t="s">
        <v>447</v>
      </c>
      <c r="C14" s="98"/>
      <c r="D14" s="98"/>
      <c r="E14" s="98"/>
      <c r="F14" s="462">
        <f>B3*8600*12*3*1.25</f>
        <v>1548000</v>
      </c>
      <c r="G14" s="99"/>
    </row>
    <row r="15" spans="1:19" ht="15.75">
      <c r="A15" s="1162"/>
      <c r="B15" s="98" t="s">
        <v>529</v>
      </c>
      <c r="C15" s="98"/>
      <c r="D15" s="98"/>
      <c r="E15" s="98"/>
      <c r="F15" s="592">
        <f>F13-F14</f>
        <v>2167200</v>
      </c>
      <c r="G15" s="99"/>
    </row>
    <row r="16" spans="1:19" ht="16.5" thickBot="1">
      <c r="A16" s="589"/>
      <c r="B16" s="590" t="s">
        <v>530</v>
      </c>
      <c r="C16" s="103"/>
      <c r="D16" s="103"/>
      <c r="E16" s="103"/>
      <c r="F16" s="593">
        <f>F12+F15</f>
        <v>12812721.428571427</v>
      </c>
      <c r="G16" s="591"/>
    </row>
    <row r="17" spans="1:7" ht="32.25" customHeight="1">
      <c r="B17" s="465" t="s">
        <v>582</v>
      </c>
      <c r="F17" s="684">
        <f>F16/100000</f>
        <v>128.12721428571427</v>
      </c>
    </row>
    <row r="18" spans="1:7" ht="30" hidden="1">
      <c r="A18" s="461" t="s">
        <v>443</v>
      </c>
      <c r="B18" s="459" t="s">
        <v>429</v>
      </c>
      <c r="C18" s="459" t="s">
        <v>430</v>
      </c>
      <c r="D18" s="459" t="s">
        <v>431</v>
      </c>
      <c r="E18" s="459" t="s">
        <v>432</v>
      </c>
      <c r="F18" s="459" t="s">
        <v>433</v>
      </c>
      <c r="G18" s="460" t="s">
        <v>133</v>
      </c>
    </row>
    <row r="19" spans="1:7" hidden="1">
      <c r="A19" s="1166" t="s">
        <v>451</v>
      </c>
      <c r="B19" s="104">
        <v>13</v>
      </c>
      <c r="C19" s="104">
        <v>7</v>
      </c>
      <c r="D19" s="104">
        <v>1320</v>
      </c>
      <c r="E19" s="104">
        <v>0.85</v>
      </c>
      <c r="F19" s="104">
        <f>B19*C19*D19*E19</f>
        <v>102102</v>
      </c>
      <c r="G19" s="99"/>
    </row>
    <row r="20" spans="1:7" hidden="1">
      <c r="A20" s="1167"/>
      <c r="B20" s="1163" t="s">
        <v>445</v>
      </c>
      <c r="C20" s="1164"/>
      <c r="D20" s="1164"/>
      <c r="E20" s="1165"/>
      <c r="F20" s="104">
        <v>21102</v>
      </c>
      <c r="G20" s="99"/>
    </row>
    <row r="21" spans="1:7" hidden="1">
      <c r="A21" s="1167"/>
      <c r="B21" s="1163" t="s">
        <v>435</v>
      </c>
      <c r="C21" s="1164"/>
      <c r="D21" s="1164"/>
      <c r="E21" s="1165"/>
      <c r="F21" s="104">
        <f>F19-F20</f>
        <v>81000</v>
      </c>
      <c r="G21" s="99"/>
    </row>
    <row r="22" spans="1:7" hidden="1">
      <c r="A22" s="1167"/>
      <c r="B22" s="1163" t="s">
        <v>437</v>
      </c>
      <c r="C22" s="1164"/>
      <c r="D22" s="1164"/>
      <c r="E22" s="1165"/>
      <c r="F22" s="456">
        <f>F21/B19/7/E19</f>
        <v>1047.1881060116355</v>
      </c>
      <c r="G22" s="99"/>
    </row>
    <row r="23" spans="1:7" hidden="1">
      <c r="A23" s="1167"/>
      <c r="B23" s="1163" t="s">
        <v>436</v>
      </c>
      <c r="C23" s="1164"/>
      <c r="D23" s="1164"/>
      <c r="E23" s="1165"/>
      <c r="F23" s="457">
        <f>F21/B19/12/E19</f>
        <v>610.85972850678729</v>
      </c>
      <c r="G23" s="99"/>
    </row>
    <row r="24" spans="1:7" hidden="1">
      <c r="A24" s="1167"/>
      <c r="B24" s="1163" t="s">
        <v>438</v>
      </c>
      <c r="C24" s="1164"/>
      <c r="D24" s="1164"/>
      <c r="E24" s="1165"/>
      <c r="F24" s="457">
        <f>F22-F23</f>
        <v>436.32837750484816</v>
      </c>
      <c r="G24" s="99"/>
    </row>
    <row r="25" spans="1:7" hidden="1">
      <c r="A25" s="1167"/>
      <c r="B25" s="1163" t="s">
        <v>439</v>
      </c>
      <c r="C25" s="1164"/>
      <c r="D25" s="1164"/>
      <c r="E25" s="1165"/>
      <c r="F25" s="456">
        <f>B19*12*F24*E19</f>
        <v>57857.142857142862</v>
      </c>
      <c r="G25" s="99"/>
    </row>
    <row r="26" spans="1:7" hidden="1">
      <c r="A26" s="1167"/>
      <c r="B26" s="1163" t="s">
        <v>440</v>
      </c>
      <c r="C26" s="1164"/>
      <c r="D26" s="1164"/>
      <c r="E26" s="1165"/>
      <c r="F26" s="104">
        <v>5</v>
      </c>
      <c r="G26" s="99"/>
    </row>
    <row r="27" spans="1:7" hidden="1">
      <c r="A27" s="1167"/>
      <c r="B27" s="1163" t="s">
        <v>441</v>
      </c>
      <c r="C27" s="1164"/>
      <c r="D27" s="1164"/>
      <c r="E27" s="1165"/>
      <c r="F27" s="456">
        <f>F25*F26</f>
        <v>289285.71428571432</v>
      </c>
      <c r="G27" s="99"/>
    </row>
    <row r="28" spans="1:7" hidden="1">
      <c r="A28" s="1167"/>
      <c r="B28" s="1163" t="s">
        <v>442</v>
      </c>
      <c r="C28" s="1164"/>
      <c r="D28" s="1164"/>
      <c r="E28" s="1165"/>
      <c r="F28" s="458">
        <f>F27*289</f>
        <v>83603571.428571433</v>
      </c>
      <c r="G28" s="99"/>
    </row>
    <row r="29" spans="1:7" hidden="1">
      <c r="A29" s="1167"/>
      <c r="B29" s="98" t="s">
        <v>446</v>
      </c>
      <c r="C29" s="98"/>
      <c r="D29" s="98"/>
      <c r="E29" s="98"/>
      <c r="F29" s="462">
        <f>B19*8600*12*3*3</f>
        <v>12074400</v>
      </c>
      <c r="G29" s="99"/>
    </row>
    <row r="30" spans="1:7" hidden="1">
      <c r="A30" s="1167"/>
      <c r="B30" s="98" t="s">
        <v>447</v>
      </c>
      <c r="C30" s="98"/>
      <c r="D30" s="98"/>
      <c r="E30" s="98"/>
      <c r="F30" s="462">
        <f>B19*8600*12*3*1.25</f>
        <v>5031000</v>
      </c>
      <c r="G30" s="99"/>
    </row>
    <row r="31" spans="1:7" ht="15.75" hidden="1" thickBot="1">
      <c r="A31" s="1168"/>
      <c r="B31" s="103" t="s">
        <v>448</v>
      </c>
      <c r="C31" s="103"/>
      <c r="D31" s="103"/>
      <c r="E31" s="103"/>
      <c r="F31" s="463">
        <f>F29-F30</f>
        <v>7043400</v>
      </c>
      <c r="G31" s="464"/>
    </row>
    <row r="32" spans="1:7" ht="15.75" hidden="1" thickBot="1">
      <c r="B32" s="465" t="s">
        <v>449</v>
      </c>
      <c r="F32" s="466">
        <f>F28+F31</f>
        <v>90646971.428571433</v>
      </c>
    </row>
    <row r="34" spans="1:1">
      <c r="A34" t="s">
        <v>450</v>
      </c>
    </row>
  </sheetData>
  <mergeCells count="21">
    <mergeCell ref="B26:E26"/>
    <mergeCell ref="A19:A31"/>
    <mergeCell ref="B27:E27"/>
    <mergeCell ref="B28:E28"/>
    <mergeCell ref="B25:E25"/>
    <mergeCell ref="B21:E21"/>
    <mergeCell ref="B24:E24"/>
    <mergeCell ref="B23:E23"/>
    <mergeCell ref="B22:E22"/>
    <mergeCell ref="B20:E20"/>
    <mergeCell ref="A1:G1"/>
    <mergeCell ref="B4:E4"/>
    <mergeCell ref="B5:E5"/>
    <mergeCell ref="B6:E6"/>
    <mergeCell ref="B7:E7"/>
    <mergeCell ref="A3:A15"/>
    <mergeCell ref="B9:E9"/>
    <mergeCell ref="B10:E10"/>
    <mergeCell ref="B8:E8"/>
    <mergeCell ref="B12:E12"/>
    <mergeCell ref="B11:E11"/>
  </mergeCell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7" sqref="S7"/>
    </sheetView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selection activeCell="I17" sqref="I17"/>
    </sheetView>
  </sheetViews>
  <sheetFormatPr defaultRowHeight="15"/>
  <cols>
    <col min="2" max="2" width="13.140625" bestFit="1" customWidth="1"/>
    <col min="3" max="3" width="12" bestFit="1" customWidth="1"/>
    <col min="4" max="4" width="15" bestFit="1" customWidth="1"/>
    <col min="5" max="5" width="10.7109375" bestFit="1" customWidth="1"/>
    <col min="6" max="6" width="17" customWidth="1"/>
    <col min="7" max="7" width="12.42578125" customWidth="1"/>
    <col min="11" max="11" width="10.140625" customWidth="1"/>
    <col min="13" max="13" width="15.5703125" bestFit="1" customWidth="1"/>
    <col min="14" max="14" width="17.42578125" bestFit="1" customWidth="1"/>
    <col min="15" max="15" width="18.42578125" bestFit="1" customWidth="1"/>
    <col min="16" max="16" width="11.5703125" bestFit="1" customWidth="1"/>
    <col min="17" max="17" width="26.85546875" bestFit="1" customWidth="1"/>
    <col min="18" max="18" width="12" bestFit="1" customWidth="1"/>
    <col min="19" max="19" width="11.42578125" bestFit="1" customWidth="1"/>
  </cols>
  <sheetData>
    <row r="1" spans="1:19" ht="32.25" customHeight="1">
      <c r="A1" s="1158" t="s">
        <v>444</v>
      </c>
      <c r="B1" s="1159"/>
      <c r="C1" s="1159"/>
      <c r="D1" s="1159"/>
      <c r="E1" s="1159"/>
      <c r="F1" s="1159"/>
      <c r="G1" s="1160"/>
    </row>
    <row r="2" spans="1:19" ht="30">
      <c r="A2" s="614" t="s">
        <v>443</v>
      </c>
      <c r="B2" s="613" t="s">
        <v>429</v>
      </c>
      <c r="C2" s="613" t="s">
        <v>430</v>
      </c>
      <c r="D2" s="613" t="s">
        <v>431</v>
      </c>
      <c r="E2" s="613" t="s">
        <v>432</v>
      </c>
      <c r="F2" s="613" t="s">
        <v>433</v>
      </c>
      <c r="G2" s="460" t="s">
        <v>133</v>
      </c>
    </row>
    <row r="3" spans="1:19">
      <c r="A3" s="1162" t="s">
        <v>434</v>
      </c>
      <c r="B3" s="104">
        <v>4</v>
      </c>
      <c r="C3" s="104">
        <v>7</v>
      </c>
      <c r="D3" s="104">
        <v>1320</v>
      </c>
      <c r="E3" s="104">
        <v>0.85</v>
      </c>
      <c r="F3" s="104">
        <f>B3*C3*D3*E3</f>
        <v>31416</v>
      </c>
      <c r="G3" s="99"/>
    </row>
    <row r="4" spans="1:19">
      <c r="A4" s="1162"/>
      <c r="B4" s="1161" t="s">
        <v>521</v>
      </c>
      <c r="C4" s="1161"/>
      <c r="D4" s="1161"/>
      <c r="E4" s="1161"/>
      <c r="F4" s="104">
        <v>21102</v>
      </c>
      <c r="G4" s="99"/>
    </row>
    <row r="5" spans="1:19">
      <c r="A5" s="1162"/>
      <c r="B5" s="1161" t="s">
        <v>522</v>
      </c>
      <c r="C5" s="1161"/>
      <c r="D5" s="1161"/>
      <c r="E5" s="1161"/>
      <c r="F5" s="104">
        <f>F3-F4</f>
        <v>10314</v>
      </c>
      <c r="G5" s="99"/>
    </row>
    <row r="6" spans="1:19">
      <c r="A6" s="1162"/>
      <c r="B6" s="1161" t="s">
        <v>523</v>
      </c>
      <c r="C6" s="1161"/>
      <c r="D6" s="1161"/>
      <c r="E6" s="1161"/>
      <c r="F6" s="456">
        <f>F5/B3/7/E3</f>
        <v>433.36134453781511</v>
      </c>
      <c r="G6" s="99"/>
      <c r="K6" t="s">
        <v>539</v>
      </c>
      <c r="L6" t="s">
        <v>309</v>
      </c>
      <c r="M6" t="s">
        <v>540</v>
      </c>
      <c r="N6" t="s">
        <v>541</v>
      </c>
      <c r="O6" t="s">
        <v>542</v>
      </c>
      <c r="P6" t="s">
        <v>438</v>
      </c>
      <c r="Q6" t="s">
        <v>543</v>
      </c>
      <c r="R6" t="s">
        <v>454</v>
      </c>
      <c r="S6" t="s">
        <v>544</v>
      </c>
    </row>
    <row r="7" spans="1:19">
      <c r="A7" s="1162"/>
      <c r="B7" s="1161" t="s">
        <v>524</v>
      </c>
      <c r="C7" s="1161"/>
      <c r="D7" s="1161"/>
      <c r="E7" s="1161"/>
      <c r="F7" s="457">
        <f>F5/B3/12/E3</f>
        <v>252.79411764705884</v>
      </c>
      <c r="G7" s="99"/>
      <c r="K7" s="88">
        <v>5</v>
      </c>
      <c r="L7" s="609">
        <f>Volume!C8/289</f>
        <v>311.41868512110727</v>
      </c>
      <c r="M7" s="609">
        <f>L7*K7</f>
        <v>1557.0934256055364</v>
      </c>
      <c r="N7" s="609">
        <f>M7/7</f>
        <v>222.44191794364806</v>
      </c>
      <c r="O7" s="609">
        <f>M7/12</f>
        <v>129.75778546712803</v>
      </c>
      <c r="P7" s="609">
        <f>N7-O7</f>
        <v>92.684132476520034</v>
      </c>
      <c r="Q7" s="609">
        <f>P7*7</f>
        <v>648.78892733564021</v>
      </c>
      <c r="R7">
        <f>Q7*5</f>
        <v>3243.9446366782013</v>
      </c>
      <c r="S7" s="88">
        <f>R7*289</f>
        <v>937500.00000000012</v>
      </c>
    </row>
    <row r="8" spans="1:19">
      <c r="A8" s="1162"/>
      <c r="B8" s="1161" t="s">
        <v>525</v>
      </c>
      <c r="C8" s="1161"/>
      <c r="D8" s="1161"/>
      <c r="E8" s="1161"/>
      <c r="F8" s="457">
        <f>F6-F7</f>
        <v>180.56722689075627</v>
      </c>
      <c r="G8" s="99"/>
    </row>
    <row r="9" spans="1:19">
      <c r="A9" s="1162"/>
      <c r="B9" s="1161" t="s">
        <v>526</v>
      </c>
      <c r="C9" s="1161"/>
      <c r="D9" s="1161"/>
      <c r="E9" s="1161"/>
      <c r="F9" s="456">
        <f>B3*12*F8*E3</f>
        <v>7367.142857142856</v>
      </c>
      <c r="G9" s="99"/>
    </row>
    <row r="10" spans="1:19">
      <c r="A10" s="1162"/>
      <c r="B10" s="1161" t="s">
        <v>440</v>
      </c>
      <c r="C10" s="1161"/>
      <c r="D10" s="1161"/>
      <c r="E10" s="1161"/>
      <c r="F10" s="104">
        <v>5</v>
      </c>
      <c r="G10" s="99"/>
    </row>
    <row r="11" spans="1:19">
      <c r="A11" s="1162"/>
      <c r="B11" s="1161" t="s">
        <v>527</v>
      </c>
      <c r="C11" s="1161"/>
      <c r="D11" s="1161"/>
      <c r="E11" s="1161"/>
      <c r="F11" s="456">
        <f>F9*F10</f>
        <v>36835.714285714283</v>
      </c>
      <c r="G11" s="99"/>
    </row>
    <row r="12" spans="1:19" ht="15.75">
      <c r="A12" s="1162"/>
      <c r="B12" s="1161" t="s">
        <v>528</v>
      </c>
      <c r="C12" s="1161"/>
      <c r="D12" s="1161"/>
      <c r="E12" s="1161"/>
      <c r="F12" s="592">
        <f>F11*289</f>
        <v>10645521.428571427</v>
      </c>
      <c r="G12" s="99"/>
    </row>
    <row r="13" spans="1:19">
      <c r="A13" s="1162"/>
      <c r="B13" s="98" t="s">
        <v>446</v>
      </c>
      <c r="C13" s="98"/>
      <c r="D13" s="98"/>
      <c r="E13" s="98"/>
      <c r="F13" s="462">
        <f>B3*8600*12*3*3</f>
        <v>3715200</v>
      </c>
      <c r="G13" s="99"/>
    </row>
    <row r="14" spans="1:19">
      <c r="A14" s="1162"/>
      <c r="B14" s="98" t="s">
        <v>447</v>
      </c>
      <c r="C14" s="98"/>
      <c r="D14" s="98"/>
      <c r="E14" s="98"/>
      <c r="F14" s="462">
        <f>B3*8600*12*3*1.25</f>
        <v>1548000</v>
      </c>
      <c r="G14" s="99"/>
    </row>
    <row r="15" spans="1:19" ht="15.75">
      <c r="A15" s="1162"/>
      <c r="B15" s="98" t="s">
        <v>529</v>
      </c>
      <c r="C15" s="98"/>
      <c r="D15" s="98"/>
      <c r="E15" s="98"/>
      <c r="F15" s="592">
        <f>F13-F14</f>
        <v>2167200</v>
      </c>
      <c r="G15" s="99"/>
    </row>
    <row r="16" spans="1:19" ht="16.5" thickBot="1">
      <c r="A16" s="589"/>
      <c r="B16" s="590" t="s">
        <v>530</v>
      </c>
      <c r="C16" s="103"/>
      <c r="D16" s="103"/>
      <c r="E16" s="103"/>
      <c r="F16" s="593">
        <f>F12+F15</f>
        <v>12812721.428571427</v>
      </c>
      <c r="G16" s="591"/>
    </row>
    <row r="17" spans="1:9" ht="32.25" customHeight="1">
      <c r="B17" s="465"/>
      <c r="F17" s="588"/>
      <c r="I17">
        <f>F16*3/12</f>
        <v>3203180.3571428568</v>
      </c>
    </row>
    <row r="18" spans="1:9" ht="30" hidden="1">
      <c r="A18" s="614" t="s">
        <v>443</v>
      </c>
      <c r="B18" s="613" t="s">
        <v>429</v>
      </c>
      <c r="C18" s="613" t="s">
        <v>430</v>
      </c>
      <c r="D18" s="613" t="s">
        <v>431</v>
      </c>
      <c r="E18" s="613" t="s">
        <v>432</v>
      </c>
      <c r="F18" s="613" t="s">
        <v>433</v>
      </c>
      <c r="G18" s="460" t="s">
        <v>133</v>
      </c>
    </row>
    <row r="19" spans="1:9" hidden="1">
      <c r="A19" s="1166" t="s">
        <v>451</v>
      </c>
      <c r="B19" s="104">
        <v>13</v>
      </c>
      <c r="C19" s="104">
        <v>7</v>
      </c>
      <c r="D19" s="104">
        <v>1320</v>
      </c>
      <c r="E19" s="104">
        <v>0.85</v>
      </c>
      <c r="F19" s="104">
        <f>B19*C19*D19*E19</f>
        <v>102102</v>
      </c>
      <c r="G19" s="99"/>
    </row>
    <row r="20" spans="1:9" hidden="1">
      <c r="A20" s="1167"/>
      <c r="B20" s="1163" t="s">
        <v>445</v>
      </c>
      <c r="C20" s="1164"/>
      <c r="D20" s="1164"/>
      <c r="E20" s="1165"/>
      <c r="F20" s="104">
        <v>21102</v>
      </c>
      <c r="G20" s="99"/>
    </row>
    <row r="21" spans="1:9" hidden="1">
      <c r="A21" s="1167"/>
      <c r="B21" s="1163" t="s">
        <v>435</v>
      </c>
      <c r="C21" s="1164"/>
      <c r="D21" s="1164"/>
      <c r="E21" s="1165"/>
      <c r="F21" s="104">
        <f>F19-F20</f>
        <v>81000</v>
      </c>
      <c r="G21" s="99"/>
    </row>
    <row r="22" spans="1:9" hidden="1">
      <c r="A22" s="1167"/>
      <c r="B22" s="1163" t="s">
        <v>437</v>
      </c>
      <c r="C22" s="1164"/>
      <c r="D22" s="1164"/>
      <c r="E22" s="1165"/>
      <c r="F22" s="456">
        <f>F21/B19/7/E19</f>
        <v>1047.1881060116355</v>
      </c>
      <c r="G22" s="99"/>
    </row>
    <row r="23" spans="1:9" hidden="1">
      <c r="A23" s="1167"/>
      <c r="B23" s="1163" t="s">
        <v>436</v>
      </c>
      <c r="C23" s="1164"/>
      <c r="D23" s="1164"/>
      <c r="E23" s="1165"/>
      <c r="F23" s="457">
        <f>F21/B19/12/E19</f>
        <v>610.85972850678729</v>
      </c>
      <c r="G23" s="99"/>
    </row>
    <row r="24" spans="1:9" hidden="1">
      <c r="A24" s="1167"/>
      <c r="B24" s="1163" t="s">
        <v>438</v>
      </c>
      <c r="C24" s="1164"/>
      <c r="D24" s="1164"/>
      <c r="E24" s="1165"/>
      <c r="F24" s="457">
        <f>F22-F23</f>
        <v>436.32837750484816</v>
      </c>
      <c r="G24" s="99"/>
    </row>
    <row r="25" spans="1:9" hidden="1">
      <c r="A25" s="1167"/>
      <c r="B25" s="1163" t="s">
        <v>439</v>
      </c>
      <c r="C25" s="1164"/>
      <c r="D25" s="1164"/>
      <c r="E25" s="1165"/>
      <c r="F25" s="456">
        <f>B19*12*F24*E19</f>
        <v>57857.142857142862</v>
      </c>
      <c r="G25" s="99"/>
    </row>
    <row r="26" spans="1:9" hidden="1">
      <c r="A26" s="1167"/>
      <c r="B26" s="1163" t="s">
        <v>440</v>
      </c>
      <c r="C26" s="1164"/>
      <c r="D26" s="1164"/>
      <c r="E26" s="1165"/>
      <c r="F26" s="104">
        <v>5</v>
      </c>
      <c r="G26" s="99"/>
    </row>
    <row r="27" spans="1:9" hidden="1">
      <c r="A27" s="1167"/>
      <c r="B27" s="1163" t="s">
        <v>441</v>
      </c>
      <c r="C27" s="1164"/>
      <c r="D27" s="1164"/>
      <c r="E27" s="1165"/>
      <c r="F27" s="456">
        <f>F25*F26</f>
        <v>289285.71428571432</v>
      </c>
      <c r="G27" s="99"/>
    </row>
    <row r="28" spans="1:9" hidden="1">
      <c r="A28" s="1167"/>
      <c r="B28" s="1163" t="s">
        <v>442</v>
      </c>
      <c r="C28" s="1164"/>
      <c r="D28" s="1164"/>
      <c r="E28" s="1165"/>
      <c r="F28" s="458">
        <f>F27*289</f>
        <v>83603571.428571433</v>
      </c>
      <c r="G28" s="99"/>
    </row>
    <row r="29" spans="1:9" hidden="1">
      <c r="A29" s="1167"/>
      <c r="B29" s="98" t="s">
        <v>446</v>
      </c>
      <c r="C29" s="98"/>
      <c r="D29" s="98"/>
      <c r="E29" s="98"/>
      <c r="F29" s="462">
        <f>B19*8600*12*3*3</f>
        <v>12074400</v>
      </c>
      <c r="G29" s="99"/>
    </row>
    <row r="30" spans="1:9" hidden="1">
      <c r="A30" s="1167"/>
      <c r="B30" s="98" t="s">
        <v>447</v>
      </c>
      <c r="C30" s="98"/>
      <c r="D30" s="98"/>
      <c r="E30" s="98"/>
      <c r="F30" s="462">
        <f>B19*8600*12*3*1.25</f>
        <v>5031000</v>
      </c>
      <c r="G30" s="99"/>
    </row>
    <row r="31" spans="1:9" ht="15.75" hidden="1" thickBot="1">
      <c r="A31" s="1168"/>
      <c r="B31" s="103" t="s">
        <v>448</v>
      </c>
      <c r="C31" s="103"/>
      <c r="D31" s="103"/>
      <c r="E31" s="103"/>
      <c r="F31" s="463">
        <f>F29-F30</f>
        <v>7043400</v>
      </c>
      <c r="G31" s="464"/>
    </row>
    <row r="32" spans="1:9" ht="15.75" hidden="1" thickBot="1">
      <c r="B32" s="465" t="s">
        <v>449</v>
      </c>
      <c r="F32" s="466">
        <f>F28+F31</f>
        <v>90646971.428571433</v>
      </c>
    </row>
    <row r="34" spans="1:1">
      <c r="A34" t="s">
        <v>450</v>
      </c>
    </row>
  </sheetData>
  <mergeCells count="21">
    <mergeCell ref="A19:A31"/>
    <mergeCell ref="B20:E20"/>
    <mergeCell ref="B21:E21"/>
    <mergeCell ref="B22:E22"/>
    <mergeCell ref="B23:E23"/>
    <mergeCell ref="B25:E25"/>
    <mergeCell ref="B27:E27"/>
    <mergeCell ref="B24:E24"/>
    <mergeCell ref="B26:E26"/>
    <mergeCell ref="B28:E28"/>
    <mergeCell ref="A1:G1"/>
    <mergeCell ref="A3:A15"/>
    <mergeCell ref="B4:E4"/>
    <mergeCell ref="B5:E5"/>
    <mergeCell ref="B6:E6"/>
    <mergeCell ref="B7:E7"/>
    <mergeCell ref="B9:E9"/>
    <mergeCell ref="B11:E11"/>
    <mergeCell ref="B8:E8"/>
    <mergeCell ref="B10:E10"/>
    <mergeCell ref="B12:E12"/>
  </mergeCell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W24"/>
  <sheetViews>
    <sheetView workbookViewId="0">
      <selection activeCell="P8" sqref="P8"/>
    </sheetView>
  </sheetViews>
  <sheetFormatPr defaultRowHeight="15"/>
  <cols>
    <col min="7" max="7" width="10.140625" customWidth="1"/>
    <col min="20" max="20" width="17.28515625" bestFit="1" customWidth="1"/>
    <col min="21" max="21" width="21.42578125" bestFit="1" customWidth="1"/>
  </cols>
  <sheetData>
    <row r="2" spans="1:23" ht="27.75" customHeight="1">
      <c r="A2" s="944" t="s">
        <v>303</v>
      </c>
      <c r="B2" s="945" t="s">
        <v>304</v>
      </c>
      <c r="C2" s="945" t="s">
        <v>305</v>
      </c>
      <c r="D2" s="945" t="s">
        <v>306</v>
      </c>
      <c r="E2" s="945" t="s">
        <v>307</v>
      </c>
      <c r="F2" s="945" t="s">
        <v>308</v>
      </c>
      <c r="G2" s="945" t="s">
        <v>309</v>
      </c>
      <c r="H2" s="945" t="s">
        <v>310</v>
      </c>
      <c r="I2" s="945" t="s">
        <v>311</v>
      </c>
      <c r="J2" s="945"/>
      <c r="K2" s="945"/>
      <c r="L2" s="945"/>
      <c r="M2" s="945" t="s">
        <v>312</v>
      </c>
      <c r="N2" s="945"/>
      <c r="O2" s="945"/>
      <c r="P2" s="945"/>
      <c r="Q2" s="249"/>
      <c r="R2" s="249"/>
      <c r="S2" s="249"/>
      <c r="T2" s="250"/>
      <c r="U2" s="99"/>
    </row>
    <row r="3" spans="1:23" ht="54" customHeight="1">
      <c r="A3" s="944"/>
      <c r="B3" s="945"/>
      <c r="C3" s="945"/>
      <c r="D3" s="945"/>
      <c r="E3" s="945"/>
      <c r="F3" s="945"/>
      <c r="G3" s="945"/>
      <c r="H3" s="945"/>
      <c r="I3" s="251" t="s">
        <v>313</v>
      </c>
      <c r="J3" s="251" t="s">
        <v>314</v>
      </c>
      <c r="K3" s="251" t="s">
        <v>315</v>
      </c>
      <c r="L3" s="252" t="s">
        <v>316</v>
      </c>
      <c r="M3" s="251" t="s">
        <v>313</v>
      </c>
      <c r="N3" s="251" t="s">
        <v>314</v>
      </c>
      <c r="O3" s="251" t="s">
        <v>315</v>
      </c>
      <c r="P3" s="252" t="s">
        <v>316</v>
      </c>
      <c r="Q3" s="252" t="s">
        <v>317</v>
      </c>
      <c r="R3" s="253" t="s">
        <v>318</v>
      </c>
      <c r="S3" s="252" t="s">
        <v>319</v>
      </c>
      <c r="T3" s="254" t="s">
        <v>320</v>
      </c>
      <c r="U3" s="255" t="s">
        <v>321</v>
      </c>
    </row>
    <row r="4" spans="1:23" ht="93" customHeight="1">
      <c r="B4" s="256">
        <v>1</v>
      </c>
      <c r="C4" s="610" t="s">
        <v>336</v>
      </c>
      <c r="D4" s="610"/>
      <c r="E4" s="610" t="s">
        <v>18</v>
      </c>
      <c r="F4" s="610" t="s">
        <v>330</v>
      </c>
      <c r="G4" s="610">
        <v>521000</v>
      </c>
      <c r="H4" s="610">
        <v>1</v>
      </c>
      <c r="I4" s="633">
        <v>2</v>
      </c>
      <c r="J4" s="633">
        <v>635</v>
      </c>
      <c r="K4" s="633">
        <v>364</v>
      </c>
      <c r="L4" s="634">
        <f>I4*J4*K4*7.854/1000000</f>
        <v>3.6307471200000001</v>
      </c>
      <c r="M4" s="633">
        <v>2</v>
      </c>
      <c r="N4" s="633">
        <v>635</v>
      </c>
      <c r="O4" s="633">
        <v>344</v>
      </c>
      <c r="P4" s="634">
        <f>M4*N4*O4*7.854/1000000</f>
        <v>3.4312555200000001</v>
      </c>
      <c r="Q4" s="634">
        <f>(L4-P4)/H4</f>
        <v>0.19949159999999999</v>
      </c>
      <c r="R4" s="635">
        <v>65</v>
      </c>
      <c r="S4" s="636">
        <f>Q4*R4</f>
        <v>12.966953999999999</v>
      </c>
      <c r="T4" s="637">
        <f>S4*G4/100000</f>
        <v>67.557830339999995</v>
      </c>
      <c r="U4" s="638"/>
    </row>
    <row r="5" spans="1:23" ht="69.95" customHeight="1">
      <c r="B5" s="256">
        <v>2</v>
      </c>
      <c r="C5" s="610" t="s">
        <v>333</v>
      </c>
      <c r="D5" s="610"/>
      <c r="E5" s="610" t="s">
        <v>18</v>
      </c>
      <c r="F5" s="610" t="s">
        <v>334</v>
      </c>
      <c r="G5" s="610">
        <v>90000</v>
      </c>
      <c r="H5" s="610">
        <v>0.5</v>
      </c>
      <c r="I5" s="633">
        <v>3.2</v>
      </c>
      <c r="J5" s="633">
        <v>555</v>
      </c>
      <c r="K5" s="633">
        <v>250</v>
      </c>
      <c r="L5" s="634">
        <f>I5*J5*K5*7.854/1000000</f>
        <v>3.4871759999999998</v>
      </c>
      <c r="M5" s="633">
        <v>3.2</v>
      </c>
      <c r="N5" s="633">
        <v>461</v>
      </c>
      <c r="O5" s="633">
        <v>268</v>
      </c>
      <c r="P5" s="634">
        <f>M5*N5*O5*7.854/1000000</f>
        <v>3.1051071744000005</v>
      </c>
      <c r="Q5" s="634">
        <f>(L5-P5)/H5</f>
        <v>0.76413765119999866</v>
      </c>
      <c r="R5" s="635">
        <v>65</v>
      </c>
      <c r="S5" s="636">
        <f>Q5*R5</f>
        <v>49.668947327999916</v>
      </c>
      <c r="T5" s="637">
        <f>S5*G5/100000</f>
        <v>44.702052595199923</v>
      </c>
      <c r="U5" s="639"/>
      <c r="W5" s="265"/>
    </row>
    <row r="7" spans="1:23" ht="36" customHeight="1">
      <c r="A7" s="789" t="s">
        <v>201</v>
      </c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989"/>
    </row>
    <row r="8" spans="1:23" ht="15" customHeight="1">
      <c r="A8" s="990" t="s">
        <v>175</v>
      </c>
      <c r="B8" s="993" t="s">
        <v>202</v>
      </c>
      <c r="C8" s="993"/>
      <c r="D8" s="994" t="s">
        <v>176</v>
      </c>
      <c r="E8" s="995"/>
      <c r="F8" s="995"/>
      <c r="G8" s="996"/>
      <c r="H8" s="1000" t="s">
        <v>177</v>
      </c>
      <c r="I8" s="1001"/>
      <c r="J8" s="1001"/>
      <c r="K8" s="1002"/>
      <c r="L8" s="629"/>
      <c r="M8" s="1006" t="s">
        <v>178</v>
      </c>
    </row>
    <row r="9" spans="1:23" ht="15" customHeight="1">
      <c r="A9" s="991"/>
      <c r="B9" s="993"/>
      <c r="C9" s="993"/>
      <c r="D9" s="997"/>
      <c r="E9" s="998"/>
      <c r="F9" s="998"/>
      <c r="G9" s="999"/>
      <c r="H9" s="1003"/>
      <c r="I9" s="1004"/>
      <c r="J9" s="1004"/>
      <c r="K9" s="1005"/>
      <c r="L9" s="630"/>
      <c r="M9" s="1006"/>
    </row>
    <row r="10" spans="1:23" ht="15" customHeight="1">
      <c r="A10" s="991"/>
      <c r="B10" s="628" t="s">
        <v>179</v>
      </c>
      <c r="C10" s="632" t="s">
        <v>203</v>
      </c>
      <c r="D10" s="949" t="s">
        <v>181</v>
      </c>
      <c r="E10" s="983"/>
      <c r="F10" s="617" t="s">
        <v>182</v>
      </c>
      <c r="G10" s="147" t="s">
        <v>183</v>
      </c>
      <c r="H10" s="949" t="s">
        <v>181</v>
      </c>
      <c r="I10" s="983"/>
      <c r="J10" s="617" t="s">
        <v>182</v>
      </c>
      <c r="K10" s="147" t="s">
        <v>183</v>
      </c>
      <c r="L10" s="147"/>
      <c r="M10" s="631"/>
    </row>
    <row r="11" spans="1:23" ht="34.5" customHeight="1">
      <c r="A11" s="992"/>
      <c r="B11" s="628" t="s">
        <v>184</v>
      </c>
      <c r="C11" s="632" t="s">
        <v>204</v>
      </c>
      <c r="D11" s="949">
        <v>2</v>
      </c>
      <c r="E11" s="983"/>
      <c r="F11" s="150">
        <v>648</v>
      </c>
      <c r="G11" s="150">
        <v>325</v>
      </c>
      <c r="H11" s="949">
        <v>2</v>
      </c>
      <c r="I11" s="983"/>
      <c r="J11" s="627">
        <v>618</v>
      </c>
      <c r="K11" s="627">
        <v>296</v>
      </c>
      <c r="L11" s="627"/>
      <c r="M11" s="632" t="s">
        <v>545</v>
      </c>
    </row>
    <row r="12" spans="1:23" ht="15" customHeight="1">
      <c r="A12" s="616">
        <v>1</v>
      </c>
      <c r="B12" s="153" t="s">
        <v>186</v>
      </c>
      <c r="C12" s="104"/>
      <c r="D12" s="947">
        <f>D11*F11*G11*7.854/1000000</f>
        <v>3.3081047999999997</v>
      </c>
      <c r="E12" s="984"/>
      <c r="F12" s="984"/>
      <c r="G12" s="948"/>
      <c r="H12" s="947">
        <f>H11*J11*K11*7.854/1000000</f>
        <v>2.8734330240000001</v>
      </c>
      <c r="I12" s="984"/>
      <c r="J12" s="984"/>
      <c r="K12" s="948"/>
      <c r="L12" s="620"/>
      <c r="M12" s="98"/>
    </row>
    <row r="13" spans="1:23" ht="15" customHeight="1">
      <c r="A13" s="616">
        <v>2</v>
      </c>
      <c r="B13" s="153" t="s">
        <v>187</v>
      </c>
      <c r="C13" s="616"/>
      <c r="D13" s="949">
        <v>0</v>
      </c>
      <c r="E13" s="962"/>
      <c r="F13" s="962"/>
      <c r="G13" s="950"/>
      <c r="H13" s="978">
        <f>D12-H12</f>
        <v>0.43467177599999962</v>
      </c>
      <c r="I13" s="979"/>
      <c r="J13" s="979"/>
      <c r="K13" s="980"/>
      <c r="L13" s="625"/>
      <c r="M13" s="98"/>
    </row>
    <row r="14" spans="1:23" ht="15" customHeight="1">
      <c r="A14" s="616">
        <v>3</v>
      </c>
      <c r="B14" s="153" t="s">
        <v>188</v>
      </c>
      <c r="C14" s="616"/>
      <c r="D14" s="949">
        <v>0</v>
      </c>
      <c r="E14" s="962"/>
      <c r="F14" s="962"/>
      <c r="G14" s="950"/>
      <c r="H14" s="978">
        <f>H13*45</f>
        <v>19.560229919999983</v>
      </c>
      <c r="I14" s="981"/>
      <c r="J14" s="981"/>
      <c r="K14" s="982"/>
      <c r="L14" s="626"/>
      <c r="M14" s="98"/>
    </row>
    <row r="15" spans="1:23" ht="15" customHeight="1">
      <c r="A15" s="616">
        <v>4</v>
      </c>
      <c r="B15" s="154" t="s">
        <v>189</v>
      </c>
      <c r="C15" s="104"/>
      <c r="D15" s="955">
        <f>D12*3*2.7</f>
        <v>26.795648880000002</v>
      </c>
      <c r="E15" s="970"/>
      <c r="F15" s="970"/>
      <c r="G15" s="956"/>
      <c r="H15" s="953">
        <v>0</v>
      </c>
      <c r="I15" s="969"/>
      <c r="J15" s="969"/>
      <c r="K15" s="954"/>
      <c r="L15" s="619"/>
      <c r="M15" s="98"/>
    </row>
    <row r="16" spans="1:23" ht="15" customHeight="1">
      <c r="A16" s="616">
        <v>5</v>
      </c>
      <c r="B16" s="153" t="s">
        <v>190</v>
      </c>
      <c r="C16" s="632" t="s">
        <v>191</v>
      </c>
      <c r="D16" s="949">
        <v>0</v>
      </c>
      <c r="E16" s="962"/>
      <c r="F16" s="962"/>
      <c r="G16" s="950"/>
      <c r="H16" s="953">
        <v>0</v>
      </c>
      <c r="I16" s="969"/>
      <c r="J16" s="969"/>
      <c r="K16" s="954"/>
      <c r="L16" s="619"/>
      <c r="M16" s="98"/>
    </row>
    <row r="17" spans="1:13" ht="15" customHeight="1">
      <c r="A17" s="616">
        <v>6</v>
      </c>
      <c r="B17" s="153" t="s">
        <v>192</v>
      </c>
      <c r="C17" s="632" t="s">
        <v>193</v>
      </c>
      <c r="D17" s="949">
        <v>3.75</v>
      </c>
      <c r="E17" s="962"/>
      <c r="F17" s="962"/>
      <c r="G17" s="950"/>
      <c r="H17" s="955">
        <f>H12*3.4</f>
        <v>9.7696722816000001</v>
      </c>
      <c r="I17" s="970"/>
      <c r="J17" s="970"/>
      <c r="K17" s="956"/>
      <c r="L17" s="623"/>
      <c r="M17" s="98"/>
    </row>
    <row r="18" spans="1:13" ht="15" customHeight="1">
      <c r="A18" s="616">
        <v>7</v>
      </c>
      <c r="B18" s="155" t="s">
        <v>194</v>
      </c>
      <c r="C18" s="616"/>
      <c r="D18" s="971">
        <f>(D15+D17)/3</f>
        <v>10.181882960000001</v>
      </c>
      <c r="E18" s="972"/>
      <c r="F18" s="972"/>
      <c r="G18" s="973"/>
      <c r="H18" s="971">
        <f>H17+H16+H15</f>
        <v>9.7696722816000001</v>
      </c>
      <c r="I18" s="972"/>
      <c r="J18" s="972"/>
      <c r="K18" s="973"/>
      <c r="L18" s="624"/>
      <c r="M18" s="98"/>
    </row>
    <row r="19" spans="1:13" ht="15" customHeight="1">
      <c r="A19" s="616"/>
      <c r="B19" s="153"/>
      <c r="C19" s="616"/>
      <c r="D19" s="949"/>
      <c r="E19" s="962"/>
      <c r="F19" s="962"/>
      <c r="G19" s="950"/>
      <c r="H19" s="949"/>
      <c r="I19" s="962"/>
      <c r="J19" s="962"/>
      <c r="K19" s="950"/>
      <c r="L19" s="618"/>
      <c r="M19" s="98"/>
    </row>
    <row r="20" spans="1:13" ht="15" customHeight="1">
      <c r="A20" s="616">
        <v>8</v>
      </c>
      <c r="B20" s="153" t="s">
        <v>378</v>
      </c>
      <c r="C20" s="156" t="s">
        <v>195</v>
      </c>
      <c r="D20" s="963">
        <f>D18*2000/100000</f>
        <v>0.20363765920000002</v>
      </c>
      <c r="E20" s="964"/>
      <c r="F20" s="964"/>
      <c r="G20" s="965"/>
      <c r="H20" s="966">
        <f>H18*2000/100000</f>
        <v>0.19539344563200001</v>
      </c>
      <c r="I20" s="967"/>
      <c r="J20" s="967"/>
      <c r="K20" s="968"/>
      <c r="L20" s="621"/>
      <c r="M20" s="98"/>
    </row>
    <row r="21" spans="1:13" ht="15" customHeight="1">
      <c r="A21" s="616">
        <v>9</v>
      </c>
      <c r="B21" s="153" t="s">
        <v>379</v>
      </c>
      <c r="C21" s="616"/>
      <c r="D21" s="966">
        <v>0</v>
      </c>
      <c r="E21" s="967"/>
      <c r="F21" s="967"/>
      <c r="G21" s="968"/>
      <c r="H21" s="966">
        <f>H14*2000/100000</f>
        <v>0.39120459839999966</v>
      </c>
      <c r="I21" s="967"/>
      <c r="J21" s="967"/>
      <c r="K21" s="968"/>
      <c r="L21" s="621"/>
      <c r="M21" s="98"/>
    </row>
    <row r="22" spans="1:13" ht="15" customHeight="1">
      <c r="A22" s="616">
        <v>10</v>
      </c>
      <c r="B22" s="153" t="s">
        <v>196</v>
      </c>
      <c r="C22" s="616"/>
      <c r="D22" s="966">
        <f>D20*289</f>
        <v>58.851283508800002</v>
      </c>
      <c r="E22" s="967"/>
      <c r="F22" s="967"/>
      <c r="G22" s="968"/>
      <c r="H22" s="966">
        <f>H20*289</f>
        <v>56.468705787648005</v>
      </c>
      <c r="I22" s="967"/>
      <c r="J22" s="967"/>
      <c r="K22" s="968"/>
      <c r="L22" s="621"/>
      <c r="M22" s="98" t="s">
        <v>197</v>
      </c>
    </row>
    <row r="23" spans="1:13" ht="15" customHeight="1">
      <c r="A23" s="616">
        <v>11</v>
      </c>
      <c r="B23" s="153" t="s">
        <v>380</v>
      </c>
      <c r="C23" s="616"/>
      <c r="D23" s="966">
        <v>0</v>
      </c>
      <c r="E23" s="967"/>
      <c r="F23" s="967"/>
      <c r="G23" s="968"/>
      <c r="H23" s="966">
        <f>H21*289</f>
        <v>113.0581289375999</v>
      </c>
      <c r="I23" s="967"/>
      <c r="J23" s="967"/>
      <c r="K23" s="968"/>
      <c r="L23" s="621"/>
      <c r="M23" s="98" t="s">
        <v>197</v>
      </c>
    </row>
    <row r="24" spans="1:13" ht="32.25" customHeight="1">
      <c r="A24" s="616">
        <v>12</v>
      </c>
      <c r="B24" s="153" t="s">
        <v>382</v>
      </c>
      <c r="C24" s="616"/>
      <c r="D24" s="966"/>
      <c r="E24" s="967"/>
      <c r="F24" s="967"/>
      <c r="G24" s="968"/>
      <c r="H24" s="974">
        <f>D22-H22+H23</f>
        <v>115.44070665875191</v>
      </c>
      <c r="I24" s="975"/>
      <c r="J24" s="975"/>
      <c r="K24" s="976"/>
      <c r="L24" s="622"/>
      <c r="M24" s="349">
        <f>H24</f>
        <v>115.44070665875191</v>
      </c>
    </row>
  </sheetData>
  <mergeCells count="46">
    <mergeCell ref="A8:A11"/>
    <mergeCell ref="B8:C9"/>
    <mergeCell ref="D8:G9"/>
    <mergeCell ref="H8:K9"/>
    <mergeCell ref="M8:M9"/>
    <mergeCell ref="D10:E10"/>
    <mergeCell ref="H10:I10"/>
    <mergeCell ref="D11:E11"/>
    <mergeCell ref="H11:I11"/>
    <mergeCell ref="G2:G3"/>
    <mergeCell ref="H2:H3"/>
    <mergeCell ref="I2:L2"/>
    <mergeCell ref="M2:P2"/>
    <mergeCell ref="A7:M7"/>
    <mergeCell ref="A2:A3"/>
    <mergeCell ref="B2:B3"/>
    <mergeCell ref="C2:C3"/>
    <mergeCell ref="D2:D3"/>
    <mergeCell ref="E2:E3"/>
    <mergeCell ref="F2:F3"/>
    <mergeCell ref="D12:G12"/>
    <mergeCell ref="H12:K12"/>
    <mergeCell ref="D13:G13"/>
    <mergeCell ref="H13:K13"/>
    <mergeCell ref="D14:G14"/>
    <mergeCell ref="H14:K14"/>
    <mergeCell ref="D15:G15"/>
    <mergeCell ref="H15:K15"/>
    <mergeCell ref="D16:G16"/>
    <mergeCell ref="H16:K16"/>
    <mergeCell ref="D17:G17"/>
    <mergeCell ref="H17:K17"/>
    <mergeCell ref="D18:G18"/>
    <mergeCell ref="H18:K18"/>
    <mergeCell ref="D19:G19"/>
    <mergeCell ref="H19:K19"/>
    <mergeCell ref="D20:G20"/>
    <mergeCell ref="H20:K20"/>
    <mergeCell ref="D24:G24"/>
    <mergeCell ref="H24:K24"/>
    <mergeCell ref="D21:G21"/>
    <mergeCell ref="H21:K21"/>
    <mergeCell ref="D22:G22"/>
    <mergeCell ref="H22:K22"/>
    <mergeCell ref="D23:G23"/>
    <mergeCell ref="H23:K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zoomScale="80" zoomScaleNormal="80" workbookViewId="0">
      <selection activeCell="P12" sqref="P12"/>
    </sheetView>
  </sheetViews>
  <sheetFormatPr defaultRowHeight="15"/>
  <cols>
    <col min="1" max="1" width="10" style="8" customWidth="1"/>
    <col min="2" max="2" width="22.7109375" style="1" customWidth="1"/>
    <col min="3" max="3" width="11.5703125" style="8" bestFit="1" customWidth="1"/>
    <col min="4" max="4" width="25.7109375" style="38" customWidth="1"/>
    <col min="5" max="5" width="7.85546875" style="8" customWidth="1"/>
    <col min="6" max="6" width="10.5703125" style="8" bestFit="1" customWidth="1"/>
    <col min="7" max="7" width="7.140625" style="8" bestFit="1" customWidth="1"/>
    <col min="8" max="8" width="27.5703125" style="38" customWidth="1"/>
    <col min="9" max="9" width="11.5703125" style="8" bestFit="1" customWidth="1"/>
    <col min="10" max="10" width="13.7109375" style="8" customWidth="1"/>
    <col min="11" max="11" width="7.85546875" style="8" bestFit="1" customWidth="1"/>
    <col min="12" max="12" width="11.7109375" style="1" customWidth="1"/>
    <col min="13" max="13" width="13.5703125" style="1" customWidth="1"/>
    <col min="14" max="14" width="8.28515625" style="8" bestFit="1" customWidth="1"/>
    <col min="15" max="16384" width="9.140625" style="1"/>
  </cols>
  <sheetData>
    <row r="1" spans="1:14" ht="5.25" customHeight="1" thickBot="1"/>
    <row r="2" spans="1:14" s="10" customFormat="1" ht="33.75" customHeight="1" thickBot="1">
      <c r="A2" s="768" t="s">
        <v>40</v>
      </c>
      <c r="B2" s="769"/>
      <c r="C2" s="769"/>
      <c r="D2" s="769"/>
      <c r="E2" s="769"/>
      <c r="F2" s="769"/>
      <c r="G2" s="769"/>
      <c r="H2" s="770"/>
      <c r="I2" s="761" t="s">
        <v>12</v>
      </c>
      <c r="J2" s="762"/>
      <c r="K2" s="763"/>
      <c r="L2" s="758">
        <v>41055</v>
      </c>
      <c r="M2" s="759"/>
      <c r="N2" s="760"/>
    </row>
    <row r="3" spans="1:14" s="10" customFormat="1" ht="15.75" thickBot="1">
      <c r="A3" s="9"/>
      <c r="C3" s="9"/>
      <c r="D3" s="39"/>
      <c r="E3" s="9"/>
      <c r="F3" s="9"/>
      <c r="G3" s="9"/>
      <c r="H3" s="39"/>
      <c r="I3" s="9"/>
      <c r="J3" s="9"/>
      <c r="K3" s="9"/>
      <c r="N3" s="9"/>
    </row>
    <row r="4" spans="1:14" s="10" customFormat="1" ht="18.75" thickBot="1">
      <c r="A4" s="773" t="s">
        <v>56</v>
      </c>
      <c r="B4" s="774"/>
      <c r="C4" s="775"/>
      <c r="D4" s="750" t="s">
        <v>17</v>
      </c>
      <c r="E4" s="751"/>
      <c r="F4" s="751"/>
      <c r="G4" s="752"/>
      <c r="H4" s="750" t="s">
        <v>18</v>
      </c>
      <c r="I4" s="751"/>
      <c r="J4" s="751"/>
      <c r="K4" s="752"/>
      <c r="L4" s="750" t="s">
        <v>19</v>
      </c>
      <c r="M4" s="751"/>
      <c r="N4" s="752"/>
    </row>
    <row r="5" spans="1:14" s="11" customFormat="1" ht="30.75" thickBot="1">
      <c r="A5" s="12" t="s">
        <v>14</v>
      </c>
      <c r="B5" s="12" t="s">
        <v>41</v>
      </c>
      <c r="C5" s="12" t="s">
        <v>42</v>
      </c>
      <c r="D5" s="12" t="s">
        <v>43</v>
      </c>
      <c r="E5" s="12" t="s">
        <v>44</v>
      </c>
      <c r="F5" s="12" t="s">
        <v>54</v>
      </c>
      <c r="G5" s="12" t="s">
        <v>53</v>
      </c>
      <c r="H5" s="12" t="s">
        <v>43</v>
      </c>
      <c r="I5" s="12" t="s">
        <v>44</v>
      </c>
      <c r="J5" s="12" t="s">
        <v>20</v>
      </c>
      <c r="K5" s="12" t="s">
        <v>53</v>
      </c>
      <c r="L5" s="12" t="s">
        <v>44</v>
      </c>
      <c r="M5" s="12" t="s">
        <v>20</v>
      </c>
      <c r="N5" s="12" t="s">
        <v>53</v>
      </c>
    </row>
    <row r="6" spans="1:14" ht="25.5">
      <c r="A6" s="772">
        <v>1</v>
      </c>
      <c r="B6" s="777" t="s">
        <v>21</v>
      </c>
      <c r="C6" s="764">
        <f>24.8</f>
        <v>24.8</v>
      </c>
      <c r="D6" s="41" t="s">
        <v>22</v>
      </c>
      <c r="E6" s="24">
        <v>2.8</v>
      </c>
      <c r="F6" s="28">
        <f>0.9</f>
        <v>0.9</v>
      </c>
      <c r="G6" s="32"/>
      <c r="H6" s="41" t="s">
        <v>23</v>
      </c>
      <c r="I6" s="766">
        <v>20</v>
      </c>
      <c r="J6" s="19">
        <v>7.16</v>
      </c>
      <c r="K6" s="32">
        <v>0.02</v>
      </c>
      <c r="L6" s="28">
        <f>E6+I6</f>
        <v>22.8</v>
      </c>
      <c r="M6" s="28">
        <f>F6+J6</f>
        <v>8.06</v>
      </c>
      <c r="N6" s="32"/>
    </row>
    <row r="7" spans="1:14" ht="25.5">
      <c r="A7" s="776"/>
      <c r="B7" s="778"/>
      <c r="C7" s="765"/>
      <c r="D7" s="41" t="s">
        <v>24</v>
      </c>
      <c r="E7" s="25">
        <v>2</v>
      </c>
      <c r="F7" s="29">
        <f>1.66</f>
        <v>1.66</v>
      </c>
      <c r="G7" s="32"/>
      <c r="H7" s="41" t="s">
        <v>45</v>
      </c>
      <c r="I7" s="754"/>
      <c r="J7" s="29">
        <f>3.4+2</f>
        <v>5.4</v>
      </c>
      <c r="K7" s="32"/>
      <c r="L7" s="29">
        <f>E7</f>
        <v>2</v>
      </c>
      <c r="M7" s="29">
        <f>F7+J7</f>
        <v>7.0600000000000005</v>
      </c>
      <c r="N7" s="32"/>
    </row>
    <row r="8" spans="1:14">
      <c r="A8" s="771">
        <v>2</v>
      </c>
      <c r="B8" s="779" t="s">
        <v>25</v>
      </c>
      <c r="C8" s="780">
        <v>4</v>
      </c>
      <c r="D8" s="41"/>
      <c r="E8" s="781"/>
      <c r="F8" s="753"/>
      <c r="G8" s="31"/>
      <c r="H8" s="41" t="s">
        <v>26</v>
      </c>
      <c r="I8" s="755">
        <v>4</v>
      </c>
      <c r="J8" s="756">
        <v>2.06</v>
      </c>
      <c r="K8" s="31"/>
      <c r="L8" s="756">
        <f>E8+I8</f>
        <v>4</v>
      </c>
      <c r="M8" s="767">
        <v>2.06</v>
      </c>
      <c r="N8" s="31"/>
    </row>
    <row r="9" spans="1:14">
      <c r="A9" s="772"/>
      <c r="B9" s="777"/>
      <c r="C9" s="764"/>
      <c r="D9" s="41"/>
      <c r="E9" s="782"/>
      <c r="F9" s="754"/>
      <c r="G9" s="32"/>
      <c r="H9" s="41" t="s">
        <v>27</v>
      </c>
      <c r="I9" s="755"/>
      <c r="J9" s="757"/>
      <c r="K9" s="32"/>
      <c r="L9" s="757"/>
      <c r="M9" s="767"/>
      <c r="N9" s="32"/>
    </row>
    <row r="10" spans="1:14" ht="30.75" customHeight="1">
      <c r="A10" s="13">
        <v>3</v>
      </c>
      <c r="B10" s="41" t="s">
        <v>28</v>
      </c>
      <c r="C10" s="20">
        <v>5</v>
      </c>
      <c r="D10" s="41" t="s">
        <v>29</v>
      </c>
      <c r="E10" s="25">
        <v>1</v>
      </c>
      <c r="F10" s="29">
        <f>1</f>
        <v>1</v>
      </c>
      <c r="G10" s="33"/>
      <c r="H10" s="41" t="s">
        <v>29</v>
      </c>
      <c r="I10" s="29">
        <v>4</v>
      </c>
      <c r="J10" s="29">
        <v>4</v>
      </c>
      <c r="K10" s="33"/>
      <c r="L10" s="29">
        <f t="shared" ref="L10:L16" si="0">E10+I10</f>
        <v>5</v>
      </c>
      <c r="M10" s="29">
        <f t="shared" ref="M10:M16" si="1">F10+J10</f>
        <v>5</v>
      </c>
      <c r="N10" s="33"/>
    </row>
    <row r="11" spans="1:14" ht="25.5">
      <c r="A11" s="13">
        <v>4</v>
      </c>
      <c r="B11" s="17" t="s">
        <v>30</v>
      </c>
      <c r="C11" s="20">
        <v>5</v>
      </c>
      <c r="D11" s="41" t="s">
        <v>31</v>
      </c>
      <c r="E11" s="25">
        <v>2</v>
      </c>
      <c r="F11" s="29">
        <f>2</f>
        <v>2</v>
      </c>
      <c r="G11" s="33"/>
      <c r="H11" s="41" t="s">
        <v>31</v>
      </c>
      <c r="I11" s="29">
        <v>3</v>
      </c>
      <c r="J11" s="29">
        <f>2.26</f>
        <v>2.2599999999999998</v>
      </c>
      <c r="K11" s="33"/>
      <c r="L11" s="29">
        <f t="shared" si="0"/>
        <v>5</v>
      </c>
      <c r="M11" s="29">
        <f t="shared" si="1"/>
        <v>4.26</v>
      </c>
      <c r="N11" s="33"/>
    </row>
    <row r="12" spans="1:14">
      <c r="A12" s="13">
        <v>5</v>
      </c>
      <c r="B12" s="17" t="s">
        <v>32</v>
      </c>
      <c r="C12" s="20">
        <v>0.4</v>
      </c>
      <c r="D12" s="41" t="s">
        <v>32</v>
      </c>
      <c r="E12" s="25">
        <v>0.15</v>
      </c>
      <c r="F12" s="29">
        <f>0.15</f>
        <v>0.15</v>
      </c>
      <c r="G12" s="33"/>
      <c r="H12" s="41" t="s">
        <v>33</v>
      </c>
      <c r="I12" s="29">
        <v>0.25</v>
      </c>
      <c r="J12" s="20">
        <v>0.25</v>
      </c>
      <c r="K12" s="33"/>
      <c r="L12" s="29">
        <f t="shared" si="0"/>
        <v>0.4</v>
      </c>
      <c r="M12" s="29">
        <f t="shared" si="1"/>
        <v>0.4</v>
      </c>
      <c r="N12" s="33"/>
    </row>
    <row r="13" spans="1:14">
      <c r="A13" s="14">
        <v>6</v>
      </c>
      <c r="B13" s="41" t="s">
        <v>34</v>
      </c>
      <c r="C13" s="53">
        <f>2.75</f>
        <v>2.75</v>
      </c>
      <c r="D13" s="41"/>
      <c r="E13" s="26"/>
      <c r="F13" s="29"/>
      <c r="G13" s="31"/>
      <c r="H13" s="41" t="s">
        <v>34</v>
      </c>
      <c r="I13" s="22">
        <f>2.75</f>
        <v>2.75</v>
      </c>
      <c r="J13" s="22"/>
      <c r="K13" s="31"/>
      <c r="L13" s="29">
        <f t="shared" si="0"/>
        <v>2.75</v>
      </c>
      <c r="M13" s="29">
        <f t="shared" si="1"/>
        <v>0</v>
      </c>
      <c r="N13" s="31"/>
    </row>
    <row r="14" spans="1:14">
      <c r="A14" s="14">
        <v>7</v>
      </c>
      <c r="B14" s="18" t="s">
        <v>35</v>
      </c>
      <c r="C14" s="53">
        <f>1.06</f>
        <v>1.06</v>
      </c>
      <c r="D14" s="41"/>
      <c r="E14" s="26"/>
      <c r="F14" s="29"/>
      <c r="G14" s="31"/>
      <c r="H14" s="41" t="s">
        <v>35</v>
      </c>
      <c r="I14" s="22">
        <f>1.06</f>
        <v>1.06</v>
      </c>
      <c r="J14" s="22">
        <f>2.5/100</f>
        <v>2.5000000000000001E-2</v>
      </c>
      <c r="K14" s="31"/>
      <c r="L14" s="29">
        <f t="shared" si="0"/>
        <v>1.06</v>
      </c>
      <c r="M14" s="29">
        <f t="shared" si="1"/>
        <v>2.5000000000000001E-2</v>
      </c>
      <c r="N14" s="31"/>
    </row>
    <row r="15" spans="1:14" ht="25.5">
      <c r="A15" s="14">
        <v>8</v>
      </c>
      <c r="B15" s="30" t="s">
        <v>36</v>
      </c>
      <c r="C15" s="53">
        <v>2.2000000000000002</v>
      </c>
      <c r="D15" s="41" t="s">
        <v>36</v>
      </c>
      <c r="E15" s="26">
        <v>0.2</v>
      </c>
      <c r="F15" s="29">
        <f>0.51</f>
        <v>0.51</v>
      </c>
      <c r="G15" s="31"/>
      <c r="H15" s="41" t="s">
        <v>36</v>
      </c>
      <c r="I15" s="22">
        <v>2</v>
      </c>
      <c r="J15" s="21">
        <v>2</v>
      </c>
      <c r="K15" s="31"/>
      <c r="L15" s="29">
        <f t="shared" si="0"/>
        <v>2.2000000000000002</v>
      </c>
      <c r="M15" s="29">
        <f t="shared" si="1"/>
        <v>2.5099999999999998</v>
      </c>
      <c r="N15" s="31"/>
    </row>
    <row r="16" spans="1:14" ht="30" customHeight="1">
      <c r="A16" s="14">
        <v>9</v>
      </c>
      <c r="B16" s="18" t="s">
        <v>58</v>
      </c>
      <c r="C16" s="53"/>
      <c r="D16" s="41" t="s">
        <v>37</v>
      </c>
      <c r="E16" s="26"/>
      <c r="F16" s="29">
        <f>(8600*11*11)/10000000</f>
        <v>0.10406</v>
      </c>
      <c r="G16" s="31"/>
      <c r="H16" s="41" t="s">
        <v>37</v>
      </c>
      <c r="I16" s="22"/>
      <c r="J16" s="21"/>
      <c r="K16" s="31"/>
      <c r="L16" s="29">
        <f t="shared" si="0"/>
        <v>0</v>
      </c>
      <c r="M16" s="29">
        <f t="shared" si="1"/>
        <v>0.10406</v>
      </c>
      <c r="N16" s="31"/>
    </row>
    <row r="17" spans="1:14" ht="30" customHeight="1">
      <c r="A17" s="34">
        <v>10</v>
      </c>
      <c r="B17" s="18" t="s">
        <v>57</v>
      </c>
      <c r="C17" s="53"/>
      <c r="D17" s="41"/>
      <c r="E17" s="35"/>
      <c r="F17" s="37"/>
      <c r="G17" s="36"/>
      <c r="H17" s="41"/>
      <c r="I17" s="36"/>
      <c r="J17" s="21"/>
      <c r="K17" s="36"/>
      <c r="L17" s="37"/>
      <c r="M17" s="37"/>
      <c r="N17" s="36"/>
    </row>
    <row r="18" spans="1:14" ht="15.75">
      <c r="A18" s="15"/>
      <c r="B18" s="15" t="s">
        <v>38</v>
      </c>
      <c r="C18" s="23">
        <f>SUM(C6:C15)</f>
        <v>45.21</v>
      </c>
      <c r="D18" s="40"/>
      <c r="E18" s="27">
        <f>SUM(E6:E15)</f>
        <v>8.15</v>
      </c>
      <c r="F18" s="23">
        <f>SUM(F6:F16)</f>
        <v>6.3240600000000002</v>
      </c>
      <c r="G18" s="23">
        <f>SUM(G6:G16)</f>
        <v>0</v>
      </c>
      <c r="H18" s="40"/>
      <c r="I18" s="23">
        <f t="shared" ref="I18:N18" si="2">SUM(I6:I16)</f>
        <v>37.06</v>
      </c>
      <c r="J18" s="23">
        <f t="shared" si="2"/>
        <v>23.155000000000001</v>
      </c>
      <c r="K18" s="23">
        <f t="shared" si="2"/>
        <v>0.02</v>
      </c>
      <c r="L18" s="23">
        <f t="shared" si="2"/>
        <v>45.21</v>
      </c>
      <c r="M18" s="23">
        <f t="shared" si="2"/>
        <v>29.479059999999993</v>
      </c>
      <c r="N18" s="23">
        <f t="shared" si="2"/>
        <v>0</v>
      </c>
    </row>
    <row r="19" spans="1:14" ht="16.5" thickBot="1">
      <c r="A19" s="16"/>
      <c r="B19" s="16"/>
      <c r="C19" s="16"/>
      <c r="D19" s="52" t="s">
        <v>39</v>
      </c>
      <c r="E19" s="42"/>
      <c r="F19" s="43">
        <f>F18/E18</f>
        <v>0.77595828220858898</v>
      </c>
      <c r="G19" s="43">
        <f>G18/F18</f>
        <v>0</v>
      </c>
      <c r="H19" s="52" t="s">
        <v>39</v>
      </c>
      <c r="I19" s="46"/>
      <c r="J19" s="47">
        <f>J18/I18</f>
        <v>0.62479762547220719</v>
      </c>
      <c r="K19" s="47">
        <f>K18/J18</f>
        <v>8.6374433167782339E-4</v>
      </c>
      <c r="L19" s="48" t="s">
        <v>39</v>
      </c>
      <c r="M19" s="47">
        <f>M18/L18</f>
        <v>0.65204733466047315</v>
      </c>
      <c r="N19" s="47">
        <f>N18/M18</f>
        <v>0</v>
      </c>
    </row>
    <row r="20" spans="1:14" ht="21.75" thickBot="1">
      <c r="D20" s="748" t="s">
        <v>55</v>
      </c>
      <c r="E20" s="749"/>
      <c r="F20" s="44">
        <f>E18-F18</f>
        <v>1.8259400000000001</v>
      </c>
      <c r="G20" s="45">
        <f>E18-G18</f>
        <v>8.15</v>
      </c>
      <c r="H20" s="748" t="s">
        <v>55</v>
      </c>
      <c r="I20" s="749"/>
      <c r="J20" s="44">
        <f>I18-J18</f>
        <v>13.905000000000001</v>
      </c>
      <c r="K20" s="45">
        <f>I18-K18</f>
        <v>37.04</v>
      </c>
      <c r="L20" s="49" t="s">
        <v>55</v>
      </c>
      <c r="M20" s="50">
        <f>L18-M18</f>
        <v>15.730940000000007</v>
      </c>
      <c r="N20" s="51">
        <f>L18-N18</f>
        <v>45.21</v>
      </c>
    </row>
  </sheetData>
  <mergeCells count="22">
    <mergeCell ref="L2:N2"/>
    <mergeCell ref="I2:K2"/>
    <mergeCell ref="C6:C7"/>
    <mergeCell ref="I6:I7"/>
    <mergeCell ref="L8:L9"/>
    <mergeCell ref="M8:M9"/>
    <mergeCell ref="A2:H2"/>
    <mergeCell ref="A8:A9"/>
    <mergeCell ref="A4:C4"/>
    <mergeCell ref="A6:A7"/>
    <mergeCell ref="B6:B7"/>
    <mergeCell ref="L4:N4"/>
    <mergeCell ref="B8:B9"/>
    <mergeCell ref="C8:C9"/>
    <mergeCell ref="D4:G4"/>
    <mergeCell ref="E8:E9"/>
    <mergeCell ref="D20:E20"/>
    <mergeCell ref="H20:I20"/>
    <mergeCell ref="H4:K4"/>
    <mergeCell ref="F8:F9"/>
    <mergeCell ref="I8:I9"/>
    <mergeCell ref="J8:J9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8" sqref="A8:L8"/>
    </sheetView>
  </sheetViews>
  <sheetFormatPr defaultRowHeight="15"/>
  <cols>
    <col min="1" max="1" width="5.5703125" style="88" bestFit="1" customWidth="1"/>
    <col min="2" max="2" width="22.85546875" bestFit="1" customWidth="1"/>
    <col min="3" max="3" width="10.42578125" customWidth="1"/>
    <col min="4" max="4" width="10.85546875" bestFit="1" customWidth="1"/>
    <col min="5" max="5" width="11.28515625" customWidth="1"/>
    <col min="6" max="6" width="10.7109375" customWidth="1"/>
    <col min="7" max="7" width="10" bestFit="1" customWidth="1"/>
    <col min="8" max="8" width="16.85546875" customWidth="1"/>
    <col min="9" max="9" width="7.28515625" customWidth="1"/>
    <col min="10" max="10" width="14.28515625" bestFit="1" customWidth="1"/>
    <col min="11" max="11" width="9" bestFit="1" customWidth="1"/>
    <col min="12" max="12" width="33.85546875" bestFit="1" customWidth="1"/>
  </cols>
  <sheetData>
    <row r="1" spans="1:14" ht="39.950000000000003" customHeight="1">
      <c r="A1" s="783" t="s">
        <v>388</v>
      </c>
      <c r="B1" s="784"/>
      <c r="C1" s="784"/>
      <c r="D1" s="784"/>
      <c r="E1" s="784"/>
      <c r="F1" s="784"/>
      <c r="G1" s="784"/>
      <c r="H1" s="784"/>
      <c r="I1" s="785"/>
      <c r="J1" s="785"/>
      <c r="K1" s="785"/>
      <c r="L1" s="786"/>
    </row>
    <row r="2" spans="1:14" ht="47.25">
      <c r="A2" s="107" t="s">
        <v>130</v>
      </c>
      <c r="B2" s="108" t="s">
        <v>0</v>
      </c>
      <c r="C2" s="119" t="s">
        <v>158</v>
      </c>
      <c r="D2" s="119" t="s">
        <v>159</v>
      </c>
      <c r="E2" s="119" t="s">
        <v>160</v>
      </c>
      <c r="F2" s="119" t="s">
        <v>392</v>
      </c>
      <c r="G2" s="119" t="s">
        <v>131</v>
      </c>
      <c r="H2" s="108" t="s">
        <v>132</v>
      </c>
      <c r="I2" s="110" t="s">
        <v>460</v>
      </c>
      <c r="J2" s="109" t="s">
        <v>164</v>
      </c>
      <c r="K2" s="110" t="s">
        <v>55</v>
      </c>
      <c r="L2" s="111" t="s">
        <v>133</v>
      </c>
    </row>
    <row r="3" spans="1:14" ht="32.25" customHeight="1">
      <c r="A3" s="75">
        <v>1</v>
      </c>
      <c r="B3" s="112" t="s">
        <v>134</v>
      </c>
      <c r="C3" s="75">
        <v>27</v>
      </c>
      <c r="D3" s="120"/>
      <c r="E3" s="120"/>
      <c r="F3" s="120"/>
      <c r="G3" s="361">
        <f>'VAVE-Plant-3'!C19</f>
        <v>319.92187537995204</v>
      </c>
      <c r="H3" s="361">
        <f>'VAVE-Plant-3'!D19</f>
        <v>0</v>
      </c>
      <c r="I3" s="361">
        <f>'VAVE-Plant-3'!E19</f>
        <v>0</v>
      </c>
      <c r="J3" s="77"/>
      <c r="K3" s="89">
        <f>G3-H3</f>
        <v>319.92187537995204</v>
      </c>
      <c r="L3" s="481" t="s">
        <v>452</v>
      </c>
    </row>
    <row r="4" spans="1:14" ht="24.95" customHeight="1">
      <c r="A4" s="75">
        <v>2</v>
      </c>
      <c r="B4" s="112" t="s">
        <v>139</v>
      </c>
      <c r="C4" s="121">
        <v>2</v>
      </c>
      <c r="D4" s="121"/>
      <c r="E4" s="121"/>
      <c r="F4" s="120"/>
      <c r="G4" s="362">
        <f>'VAVE-Plant-3'!C31</f>
        <v>395.63735821446511</v>
      </c>
      <c r="H4" s="362">
        <f>'VAVE-Plant-3'!D31</f>
        <v>0</v>
      </c>
      <c r="I4" s="502">
        <f>'VAVE-Plant-3'!E31</f>
        <v>0</v>
      </c>
      <c r="J4" s="115"/>
      <c r="K4" s="89">
        <f>G4-H4</f>
        <v>395.63735821446511</v>
      </c>
      <c r="L4" s="114"/>
    </row>
    <row r="5" spans="1:14" ht="24.95" customHeight="1">
      <c r="A5" s="75">
        <v>3</v>
      </c>
      <c r="B5" s="112" t="s">
        <v>461</v>
      </c>
      <c r="C5" s="120">
        <v>14</v>
      </c>
      <c r="D5" s="120"/>
      <c r="E5" s="120"/>
      <c r="F5" s="120"/>
      <c r="G5" s="361">
        <f>Localization!O34</f>
        <v>1292.7959775000002</v>
      </c>
      <c r="H5" s="361">
        <f>Localization!AC34</f>
        <v>272.0183418685121</v>
      </c>
      <c r="I5" s="89">
        <f>Localization!AC36</f>
        <v>23.33537024221453</v>
      </c>
      <c r="J5" s="89"/>
      <c r="K5" s="89">
        <f>G5-H5</f>
        <v>1020.777635631488</v>
      </c>
      <c r="L5" s="76"/>
    </row>
    <row r="6" spans="1:14" ht="24.95" customHeight="1" thickBot="1">
      <c r="A6" s="75"/>
      <c r="B6" s="124" t="s">
        <v>163</v>
      </c>
      <c r="C6" s="108">
        <f>SUM(C3:C5)</f>
        <v>43</v>
      </c>
      <c r="D6" s="108"/>
      <c r="E6" s="108"/>
      <c r="F6" s="120"/>
      <c r="G6" s="363">
        <f>SUM(G3:G5)</f>
        <v>2008.3552110944174</v>
      </c>
      <c r="H6" s="363">
        <f>SUM(H3:H5)</f>
        <v>272.0183418685121</v>
      </c>
      <c r="I6" s="363">
        <f>SUM(I3:I5)</f>
        <v>23.33537024221453</v>
      </c>
      <c r="J6" s="116"/>
      <c r="K6" s="363">
        <f>SUM(K3:K5)</f>
        <v>1736.336869225905</v>
      </c>
      <c r="L6" s="113" t="s">
        <v>136</v>
      </c>
    </row>
    <row r="7" spans="1:14" ht="24.95" customHeight="1" thickTop="1">
      <c r="A7" s="80"/>
      <c r="B7" s="81"/>
      <c r="C7" s="104"/>
      <c r="D7" s="104"/>
      <c r="E7" s="104"/>
      <c r="F7" s="104"/>
      <c r="G7" s="82"/>
      <c r="H7" s="82"/>
      <c r="I7" s="83"/>
      <c r="J7" s="83"/>
      <c r="K7" s="83"/>
      <c r="L7" s="84"/>
    </row>
    <row r="8" spans="1:14" ht="39.950000000000003" customHeight="1">
      <c r="A8" s="787" t="s">
        <v>137</v>
      </c>
      <c r="B8" s="788"/>
      <c r="C8" s="788"/>
      <c r="D8" s="788"/>
      <c r="E8" s="788"/>
      <c r="F8" s="788"/>
      <c r="G8" s="788"/>
      <c r="H8" s="788"/>
      <c r="I8" s="789"/>
      <c r="J8" s="789"/>
      <c r="K8" s="789"/>
      <c r="L8" s="790"/>
    </row>
    <row r="9" spans="1:14" ht="35.25" customHeight="1">
      <c r="A9" s="75">
        <v>1</v>
      </c>
      <c r="B9" s="126" t="s">
        <v>138</v>
      </c>
      <c r="C9" s="120">
        <v>30</v>
      </c>
      <c r="D9" s="120">
        <v>0</v>
      </c>
      <c r="E9" s="120">
        <v>2</v>
      </c>
      <c r="F9" s="120">
        <f>C9-E9</f>
        <v>28</v>
      </c>
      <c r="G9" s="361">
        <f>'VAVE-Plant-1'!C35</f>
        <v>58.149324974342868</v>
      </c>
      <c r="H9" s="361">
        <f>'VAVE-Plant-1'!D35</f>
        <v>31.850000000000005</v>
      </c>
      <c r="I9" s="89">
        <f>'VAVE-Plant-1'!E35</f>
        <v>0.26</v>
      </c>
      <c r="J9" s="139">
        <f>H9</f>
        <v>31.850000000000005</v>
      </c>
      <c r="K9" s="138">
        <f>G9-H9</f>
        <v>26.299324974342863</v>
      </c>
      <c r="L9" s="76"/>
    </row>
    <row r="10" spans="1:14" ht="24.95" customHeight="1">
      <c r="A10" s="75">
        <v>2</v>
      </c>
      <c r="B10" s="112" t="s">
        <v>139</v>
      </c>
      <c r="C10" s="120">
        <v>6</v>
      </c>
      <c r="D10" s="120">
        <v>0</v>
      </c>
      <c r="E10" s="120">
        <v>2</v>
      </c>
      <c r="F10" s="120">
        <f>C10-E10</f>
        <v>4</v>
      </c>
      <c r="G10" s="361">
        <f>'VAVE-Plant-1'!C43</f>
        <v>59.73</v>
      </c>
      <c r="H10" s="361">
        <f>'VAVE-Plant-1'!D43</f>
        <v>52.730000000000004</v>
      </c>
      <c r="I10" s="89">
        <f>'VAVE-Plant-1'!E43</f>
        <v>1.46</v>
      </c>
      <c r="J10" s="78"/>
      <c r="K10" s="138">
        <f>G10-H10</f>
        <v>6.9999999999999929</v>
      </c>
      <c r="L10" s="76"/>
    </row>
    <row r="11" spans="1:14" ht="24.95" customHeight="1" thickBot="1">
      <c r="A11" s="79"/>
      <c r="B11" s="124" t="s">
        <v>163</v>
      </c>
      <c r="C11" s="108">
        <f>C9+C10</f>
        <v>36</v>
      </c>
      <c r="D11" s="108">
        <f>D9+D10</f>
        <v>0</v>
      </c>
      <c r="E11" s="108">
        <f>E9+E10</f>
        <v>4</v>
      </c>
      <c r="F11" s="120">
        <f>C11-E11</f>
        <v>32</v>
      </c>
      <c r="G11" s="363">
        <f>G9+G10</f>
        <v>117.87932497434286</v>
      </c>
      <c r="H11" s="363">
        <f>H9+H10</f>
        <v>84.580000000000013</v>
      </c>
      <c r="I11" s="363">
        <f>I9+I10</f>
        <v>1.72</v>
      </c>
      <c r="J11" s="116"/>
      <c r="K11" s="140">
        <f>G11-H11</f>
        <v>33.299324974342852</v>
      </c>
      <c r="L11" s="76" t="s">
        <v>140</v>
      </c>
    </row>
    <row r="12" spans="1:14" ht="24.95" customHeight="1" thickTop="1">
      <c r="A12" s="80"/>
      <c r="B12" s="81"/>
      <c r="C12" s="81"/>
      <c r="D12" s="81"/>
      <c r="E12" s="81"/>
      <c r="F12" s="81"/>
      <c r="G12" s="85"/>
      <c r="H12" s="85"/>
      <c r="I12" s="85"/>
      <c r="J12" s="85"/>
      <c r="K12" s="86"/>
      <c r="L12" s="84"/>
    </row>
    <row r="13" spans="1:14" ht="39.950000000000003" customHeight="1">
      <c r="A13" s="787" t="s">
        <v>141</v>
      </c>
      <c r="B13" s="791"/>
      <c r="C13" s="791"/>
      <c r="D13" s="791"/>
      <c r="E13" s="791"/>
      <c r="F13" s="791"/>
      <c r="G13" s="791"/>
      <c r="H13" s="791"/>
      <c r="I13" s="792"/>
      <c r="J13" s="792"/>
      <c r="K13" s="792"/>
      <c r="L13" s="793"/>
      <c r="N13" s="87"/>
    </row>
    <row r="14" spans="1:14" ht="24.95" customHeight="1">
      <c r="A14" s="75">
        <v>1</v>
      </c>
      <c r="B14" s="112" t="s">
        <v>134</v>
      </c>
      <c r="C14" s="120">
        <v>33</v>
      </c>
      <c r="D14" s="381">
        <v>2</v>
      </c>
      <c r="E14" s="200">
        <v>12</v>
      </c>
      <c r="F14" s="120">
        <f>C14-E14</f>
        <v>21</v>
      </c>
      <c r="G14" s="361">
        <f>'VAVE-Binola &amp; SMC (2)'!C37</f>
        <v>294.55202999999995</v>
      </c>
      <c r="H14" s="361">
        <f>'VAVE-Binola &amp; SMC (2)'!D37</f>
        <v>212.28382999999999</v>
      </c>
      <c r="I14" s="89">
        <f>'VAVE-Binola &amp; SMC (2)'!E37</f>
        <v>18.636016666666666</v>
      </c>
      <c r="J14" s="139">
        <f>H14</f>
        <v>212.28382999999999</v>
      </c>
      <c r="K14" s="89">
        <f>G14-H14</f>
        <v>82.26819999999995</v>
      </c>
      <c r="L14" s="113"/>
    </row>
    <row r="15" spans="1:14" ht="24.95" customHeight="1">
      <c r="A15" s="75">
        <v>2</v>
      </c>
      <c r="B15" s="112" t="s">
        <v>139</v>
      </c>
      <c r="C15" s="120">
        <v>9</v>
      </c>
      <c r="D15" s="120">
        <v>0</v>
      </c>
      <c r="E15" s="120">
        <v>0</v>
      </c>
      <c r="F15" s="120">
        <f>C15-E15</f>
        <v>9</v>
      </c>
      <c r="G15" s="361">
        <f>'VAVE-Binola &amp; SMC (2)'!C56</f>
        <v>902.03141000000005</v>
      </c>
      <c r="H15" s="361">
        <f>'VAVE-Binola &amp; SMC (2)'!D56</f>
        <v>27.415743333333332</v>
      </c>
      <c r="I15" s="89">
        <f>'VAVE-Binola &amp; SMC (2)'!E56</f>
        <v>3.0588350000000002</v>
      </c>
      <c r="J15" s="89"/>
      <c r="K15" s="89">
        <f>G15-H15</f>
        <v>874.6156666666667</v>
      </c>
      <c r="L15" s="76"/>
    </row>
    <row r="16" spans="1:14" ht="24.95" customHeight="1">
      <c r="A16" s="75">
        <v>3</v>
      </c>
      <c r="B16" s="112" t="s">
        <v>161</v>
      </c>
      <c r="C16" s="120">
        <v>6</v>
      </c>
      <c r="D16" s="120">
        <v>0</v>
      </c>
      <c r="E16" s="120">
        <v>0</v>
      </c>
      <c r="F16" s="120">
        <f>C16-E16</f>
        <v>6</v>
      </c>
      <c r="G16" s="361">
        <f>'VAVE-Binola &amp; SMC (2)'!C43</f>
        <v>73.09</v>
      </c>
      <c r="H16" s="361">
        <f>'VAVE-Binola &amp; SMC (2)'!D43</f>
        <v>33.045000000000002</v>
      </c>
      <c r="I16" s="89">
        <f>'VAVE-Binola &amp; SMC (2)'!E43</f>
        <v>0</v>
      </c>
      <c r="J16" s="89"/>
      <c r="K16" s="89"/>
      <c r="L16" s="76"/>
    </row>
    <row r="17" spans="1:12" ht="24.95" customHeight="1">
      <c r="A17" s="79"/>
      <c r="B17" s="124" t="s">
        <v>163</v>
      </c>
      <c r="C17" s="108">
        <f t="shared" ref="C17:H17" si="0">C14+C15+C16</f>
        <v>48</v>
      </c>
      <c r="D17" s="108">
        <f t="shared" si="0"/>
        <v>2</v>
      </c>
      <c r="E17" s="108">
        <f t="shared" si="0"/>
        <v>12</v>
      </c>
      <c r="F17" s="108">
        <f t="shared" si="0"/>
        <v>36</v>
      </c>
      <c r="G17" s="141">
        <f t="shared" si="0"/>
        <v>1269.6734399999998</v>
      </c>
      <c r="H17" s="382">
        <f t="shared" si="0"/>
        <v>272.74457333333334</v>
      </c>
      <c r="I17" s="503">
        <f>I14+I15+I16</f>
        <v>21.694851666666665</v>
      </c>
      <c r="J17" s="142"/>
      <c r="K17" s="382">
        <f>K14+K15+K16</f>
        <v>956.88386666666668</v>
      </c>
      <c r="L17" s="76"/>
    </row>
    <row r="18" spans="1:12" ht="24.95" customHeight="1">
      <c r="A18" s="794"/>
      <c r="B18" s="795"/>
      <c r="C18" s="795"/>
      <c r="D18" s="795"/>
      <c r="E18" s="795"/>
      <c r="F18" s="795"/>
      <c r="G18" s="795"/>
      <c r="H18" s="795"/>
      <c r="I18" s="795"/>
      <c r="J18" s="795"/>
      <c r="K18" s="795"/>
      <c r="L18" s="796"/>
    </row>
    <row r="19" spans="1:12" ht="24.95" customHeight="1">
      <c r="A19" s="91"/>
      <c r="B19" s="125" t="s">
        <v>162</v>
      </c>
      <c r="C19" s="92"/>
      <c r="D19" s="92"/>
      <c r="E19" s="92"/>
      <c r="F19" s="92"/>
      <c r="G19" s="383">
        <f>G6+G11+G17</f>
        <v>3395.90797606876</v>
      </c>
      <c r="H19" s="383">
        <f>H6+H11+H17</f>
        <v>629.34291520184547</v>
      </c>
      <c r="I19" s="383">
        <f>I6+I11+I17</f>
        <v>46.750221908881194</v>
      </c>
      <c r="J19" s="93"/>
      <c r="K19" s="384">
        <f>G19-H19</f>
        <v>2766.5650608669148</v>
      </c>
      <c r="L19" s="94"/>
    </row>
    <row r="20" spans="1:12" ht="15.75">
      <c r="A20" s="95"/>
      <c r="B20" s="122" t="s">
        <v>154</v>
      </c>
      <c r="C20" s="96"/>
      <c r="D20" s="96"/>
      <c r="E20" s="96"/>
      <c r="F20" s="96"/>
      <c r="G20" s="97">
        <f>56325621/100000</f>
        <v>563.25621000000001</v>
      </c>
      <c r="H20" s="104">
        <v>0</v>
      </c>
      <c r="I20" s="104"/>
      <c r="J20" s="104"/>
      <c r="K20" s="98"/>
      <c r="L20" s="99" t="s">
        <v>157</v>
      </c>
    </row>
    <row r="21" spans="1:12" ht="16.5" thickBot="1">
      <c r="A21" s="100"/>
      <c r="B21" s="123" t="s">
        <v>155</v>
      </c>
      <c r="C21" s="101"/>
      <c r="D21" s="101"/>
      <c r="E21" s="101"/>
      <c r="F21" s="101"/>
      <c r="G21" s="102">
        <f>9372000/100000</f>
        <v>93.72</v>
      </c>
      <c r="H21" s="105">
        <v>0</v>
      </c>
      <c r="I21" s="105"/>
      <c r="J21" s="105"/>
      <c r="K21" s="103"/>
      <c r="L21" s="99" t="s">
        <v>157</v>
      </c>
    </row>
    <row r="23" spans="1:12" ht="16.5" thickBot="1">
      <c r="B23" s="90" t="s">
        <v>156</v>
      </c>
      <c r="C23" s="90"/>
      <c r="D23" s="90"/>
      <c r="E23" s="90"/>
      <c r="F23" s="90"/>
      <c r="G23" s="386">
        <f>G19+G20+G21</f>
        <v>4052.8841860687598</v>
      </c>
      <c r="H23" s="386">
        <f>H19+H20+H21</f>
        <v>629.34291520184547</v>
      </c>
      <c r="I23" s="504">
        <f>I19</f>
        <v>46.750221908881194</v>
      </c>
      <c r="J23" s="385"/>
      <c r="K23" s="386">
        <f>K19+K20+K21</f>
        <v>2766.5650608669148</v>
      </c>
    </row>
    <row r="24" spans="1:12" ht="15.75" thickTop="1"/>
    <row r="26" spans="1:12">
      <c r="G26" s="106"/>
    </row>
    <row r="27" spans="1:12">
      <c r="G27" s="106"/>
    </row>
  </sheetData>
  <mergeCells count="4">
    <mergeCell ref="A1:L1"/>
    <mergeCell ref="A8:L8"/>
    <mergeCell ref="A13:L13"/>
    <mergeCell ref="A18:L18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tabSelected="1" view="pageBreakPreview" zoomScale="85" zoomScaleNormal="85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7" sqref="D7"/>
    </sheetView>
  </sheetViews>
  <sheetFormatPr defaultRowHeight="15"/>
  <cols>
    <col min="1" max="1" width="5" bestFit="1" customWidth="1"/>
    <col min="2" max="2" width="48.7109375" customWidth="1"/>
    <col min="3" max="3" width="11" customWidth="1"/>
    <col min="4" max="4" width="9.42578125" bestFit="1" customWidth="1"/>
    <col min="5" max="5" width="7" bestFit="1" customWidth="1"/>
    <col min="6" max="6" width="9.42578125" bestFit="1" customWidth="1"/>
    <col min="7" max="7" width="10.7109375" bestFit="1" customWidth="1"/>
    <col min="8" max="8" width="7.5703125" customWidth="1"/>
    <col min="9" max="9" width="53.140625" customWidth="1"/>
    <col min="10" max="10" width="23.85546875" bestFit="1" customWidth="1"/>
    <col min="11" max="11" width="16.7109375" bestFit="1" customWidth="1"/>
    <col min="12" max="12" width="12" bestFit="1" customWidth="1"/>
    <col min="13" max="13" width="12.140625" customWidth="1"/>
  </cols>
  <sheetData>
    <row r="1" spans="1:13" ht="24" thickBot="1">
      <c r="A1" s="820" t="s">
        <v>83</v>
      </c>
      <c r="B1" s="821"/>
      <c r="C1" s="822" t="s">
        <v>11</v>
      </c>
      <c r="D1" s="823"/>
      <c r="E1" s="823"/>
      <c r="F1" s="823"/>
      <c r="G1" s="823"/>
      <c r="H1" s="824"/>
      <c r="I1" s="801" t="s">
        <v>85</v>
      </c>
      <c r="J1" s="802"/>
      <c r="K1" s="7" t="s">
        <v>12</v>
      </c>
      <c r="L1" s="809">
        <v>41339</v>
      </c>
      <c r="M1" s="810"/>
    </row>
    <row r="2" spans="1:13" ht="15" customHeight="1" thickBot="1">
      <c r="A2" s="811" t="s">
        <v>15</v>
      </c>
      <c r="B2" s="813" t="s">
        <v>0</v>
      </c>
      <c r="C2" s="815" t="s">
        <v>13</v>
      </c>
      <c r="D2" s="817" t="s">
        <v>2</v>
      </c>
      <c r="E2" s="818"/>
      <c r="F2" s="818"/>
      <c r="G2" s="819"/>
      <c r="H2" s="807" t="s">
        <v>10</v>
      </c>
      <c r="I2" s="803" t="s">
        <v>3</v>
      </c>
      <c r="J2" s="805" t="s">
        <v>4</v>
      </c>
      <c r="K2" s="805" t="s">
        <v>5</v>
      </c>
      <c r="L2" s="805" t="s">
        <v>6</v>
      </c>
      <c r="M2" s="805" t="s">
        <v>16</v>
      </c>
    </row>
    <row r="3" spans="1:13" s="1" customFormat="1" ht="45.75" thickBot="1">
      <c r="A3" s="812"/>
      <c r="B3" s="814"/>
      <c r="C3" s="816"/>
      <c r="D3" s="682" t="s">
        <v>7</v>
      </c>
      <c r="E3" s="6" t="s">
        <v>8</v>
      </c>
      <c r="F3" s="682" t="s">
        <v>9</v>
      </c>
      <c r="G3" s="6" t="s">
        <v>1</v>
      </c>
      <c r="H3" s="808"/>
      <c r="I3" s="804"/>
      <c r="J3" s="806"/>
      <c r="K3" s="806"/>
      <c r="L3" s="806"/>
      <c r="M3" s="806"/>
    </row>
    <row r="4" spans="1:13" ht="21" customHeight="1" thickBot="1">
      <c r="A4" s="135">
        <v>1</v>
      </c>
      <c r="B4" s="685" t="s">
        <v>569</v>
      </c>
      <c r="C4" s="686">
        <f>Costing!T5</f>
        <v>2.7758392199999884</v>
      </c>
      <c r="D4" s="687"/>
      <c r="E4" s="687"/>
      <c r="F4" s="687"/>
      <c r="G4" s="688">
        <v>25</v>
      </c>
      <c r="H4" s="718"/>
      <c r="I4" s="690" t="s">
        <v>594</v>
      </c>
      <c r="J4" s="691" t="s">
        <v>242</v>
      </c>
      <c r="K4" s="690"/>
      <c r="L4" s="692"/>
      <c r="M4" s="693"/>
    </row>
    <row r="5" spans="1:13" ht="21" customHeight="1" thickBot="1">
      <c r="A5" s="694">
        <v>2</v>
      </c>
      <c r="B5" s="695" t="s">
        <v>570</v>
      </c>
      <c r="C5" s="696">
        <f>Costing!T6</f>
        <v>8.7314881499999863</v>
      </c>
      <c r="D5" s="697"/>
      <c r="E5" s="680"/>
      <c r="F5" s="680"/>
      <c r="G5" s="688">
        <v>25</v>
      </c>
      <c r="H5" s="718"/>
      <c r="I5" s="690" t="s">
        <v>595</v>
      </c>
      <c r="J5" s="700" t="s">
        <v>242</v>
      </c>
      <c r="K5" s="700"/>
      <c r="L5" s="701"/>
      <c r="M5" s="702"/>
    </row>
    <row r="6" spans="1:13" ht="21" customHeight="1" thickBot="1">
      <c r="A6" s="694">
        <v>3</v>
      </c>
      <c r="B6" s="695" t="s">
        <v>574</v>
      </c>
      <c r="C6" s="696">
        <f>Costing!T7</f>
        <v>3.8060876699999873</v>
      </c>
      <c r="D6" s="680"/>
      <c r="E6" s="680"/>
      <c r="F6" s="680"/>
      <c r="G6" s="698">
        <v>25</v>
      </c>
      <c r="H6" s="718"/>
      <c r="I6" s="129" t="s">
        <v>583</v>
      </c>
      <c r="J6" s="700" t="s">
        <v>242</v>
      </c>
      <c r="K6" s="136"/>
      <c r="L6" s="800"/>
      <c r="M6" s="702"/>
    </row>
    <row r="7" spans="1:13" ht="21" customHeight="1" thickBot="1">
      <c r="A7" s="694">
        <v>4</v>
      </c>
      <c r="B7" s="695" t="s">
        <v>575</v>
      </c>
      <c r="C7" s="696">
        <f>Costing!T8</f>
        <v>3.8383817472000428</v>
      </c>
      <c r="D7" s="680"/>
      <c r="E7" s="680"/>
      <c r="F7" s="680"/>
      <c r="G7" s="698">
        <v>25</v>
      </c>
      <c r="H7" s="718"/>
      <c r="I7" s="129" t="s">
        <v>583</v>
      </c>
      <c r="J7" s="700" t="s">
        <v>242</v>
      </c>
      <c r="K7" s="136"/>
      <c r="L7" s="800"/>
      <c r="M7" s="702"/>
    </row>
    <row r="8" spans="1:13" ht="21" customHeight="1" thickBot="1">
      <c r="A8" s="694">
        <v>5</v>
      </c>
      <c r="B8" s="703" t="s">
        <v>571</v>
      </c>
      <c r="C8" s="704">
        <f>Costing!T9</f>
        <v>0.57149631000000467</v>
      </c>
      <c r="D8" s="704"/>
      <c r="E8" s="705"/>
      <c r="F8" s="680"/>
      <c r="G8" s="698">
        <v>25</v>
      </c>
      <c r="H8" s="719"/>
      <c r="I8" s="699" t="s">
        <v>584</v>
      </c>
      <c r="J8" s="706" t="s">
        <v>585</v>
      </c>
      <c r="K8" s="136" t="s">
        <v>586</v>
      </c>
      <c r="L8" s="722">
        <v>41334</v>
      </c>
      <c r="M8" s="721">
        <v>41345</v>
      </c>
    </row>
    <row r="9" spans="1:13" ht="21" customHeight="1" thickBot="1">
      <c r="A9" s="694">
        <v>6</v>
      </c>
      <c r="B9" s="703" t="s">
        <v>572</v>
      </c>
      <c r="C9" s="704">
        <f>Costing!T10</f>
        <v>15.252907823999999</v>
      </c>
      <c r="D9" s="705"/>
      <c r="E9" s="705"/>
      <c r="F9" s="680"/>
      <c r="G9" s="698">
        <v>25</v>
      </c>
      <c r="H9" s="718"/>
      <c r="I9" s="690" t="s">
        <v>595</v>
      </c>
      <c r="J9" s="700" t="s">
        <v>242</v>
      </c>
      <c r="K9" s="136"/>
      <c r="L9" s="723"/>
      <c r="M9" s="721"/>
    </row>
    <row r="10" spans="1:13" ht="21" customHeight="1" thickBot="1">
      <c r="A10" s="694">
        <v>7</v>
      </c>
      <c r="B10" s="699" t="s">
        <v>509</v>
      </c>
      <c r="C10" s="704">
        <f>Costing!T11</f>
        <v>10.005996000000094</v>
      </c>
      <c r="D10" s="705"/>
      <c r="E10" s="705"/>
      <c r="F10" s="680"/>
      <c r="G10" s="698">
        <v>25</v>
      </c>
      <c r="H10" s="719"/>
      <c r="I10" s="699" t="s">
        <v>584</v>
      </c>
      <c r="J10" s="137" t="s">
        <v>585</v>
      </c>
      <c r="K10" s="136" t="s">
        <v>586</v>
      </c>
      <c r="L10" s="722">
        <v>41334</v>
      </c>
      <c r="M10" s="721">
        <v>41345</v>
      </c>
    </row>
    <row r="11" spans="1:13" ht="21" customHeight="1" thickBot="1">
      <c r="A11" s="694">
        <v>8</v>
      </c>
      <c r="B11" s="699" t="s">
        <v>588</v>
      </c>
      <c r="C11" s="704">
        <f>Costing!T12</f>
        <v>14.866051199999992</v>
      </c>
      <c r="D11" s="705"/>
      <c r="E11" s="705"/>
      <c r="F11" s="680"/>
      <c r="G11" s="698">
        <v>25</v>
      </c>
      <c r="H11" s="719"/>
      <c r="I11" s="699" t="s">
        <v>587</v>
      </c>
      <c r="J11" s="137" t="s">
        <v>585</v>
      </c>
      <c r="K11" s="136" t="s">
        <v>586</v>
      </c>
      <c r="L11" s="722">
        <v>41334</v>
      </c>
      <c r="M11" s="721">
        <v>41345</v>
      </c>
    </row>
    <row r="12" spans="1:13" ht="21" customHeight="1" thickBot="1">
      <c r="A12" s="694">
        <v>9</v>
      </c>
      <c r="B12" s="699" t="s">
        <v>589</v>
      </c>
      <c r="C12" s="704">
        <f>Costing!T13</f>
        <v>46.681034400000023</v>
      </c>
      <c r="D12" s="705"/>
      <c r="E12" s="705"/>
      <c r="F12" s="680"/>
      <c r="G12" s="698">
        <v>50</v>
      </c>
      <c r="H12" s="718"/>
      <c r="I12" s="699" t="s">
        <v>596</v>
      </c>
      <c r="J12" s="137" t="s">
        <v>585</v>
      </c>
      <c r="K12" s="136" t="s">
        <v>586</v>
      </c>
      <c r="L12" s="724"/>
      <c r="M12" s="721"/>
    </row>
    <row r="13" spans="1:13" ht="21" customHeight="1" thickBot="1">
      <c r="A13" s="694">
        <v>10</v>
      </c>
      <c r="B13" s="129" t="s">
        <v>573</v>
      </c>
      <c r="C13" s="704">
        <f>Costing!T14</f>
        <v>4.6440702000000069</v>
      </c>
      <c r="D13" s="705"/>
      <c r="E13" s="705"/>
      <c r="F13" s="680"/>
      <c r="G13" s="698">
        <v>25</v>
      </c>
      <c r="H13" s="719"/>
      <c r="I13" s="699" t="s">
        <v>587</v>
      </c>
      <c r="J13" s="137" t="s">
        <v>585</v>
      </c>
      <c r="K13" s="136" t="s">
        <v>586</v>
      </c>
      <c r="L13" s="723"/>
      <c r="M13" s="721"/>
    </row>
    <row r="14" spans="1:13" ht="21" customHeight="1" thickBot="1">
      <c r="A14" s="694">
        <v>11</v>
      </c>
      <c r="B14" s="699" t="s">
        <v>579</v>
      </c>
      <c r="C14" s="704">
        <f>Costing!T16</f>
        <v>51.867815999999998</v>
      </c>
      <c r="D14" s="705"/>
      <c r="E14" s="705"/>
      <c r="F14" s="680"/>
      <c r="G14" s="698">
        <v>25</v>
      </c>
      <c r="H14" s="719"/>
      <c r="I14" s="720" t="s">
        <v>597</v>
      </c>
      <c r="J14" s="707" t="s">
        <v>592</v>
      </c>
      <c r="K14" s="136" t="s">
        <v>593</v>
      </c>
      <c r="L14" s="725"/>
      <c r="M14" s="721"/>
    </row>
    <row r="15" spans="1:13" ht="21" customHeight="1" thickBot="1">
      <c r="A15" s="681">
        <v>12</v>
      </c>
      <c r="B15" s="699" t="s">
        <v>580</v>
      </c>
      <c r="C15" s="704">
        <f>'Coil Blking'!M56</f>
        <v>115.44070665875191</v>
      </c>
      <c r="D15" s="705"/>
      <c r="E15" s="705"/>
      <c r="F15" s="680"/>
      <c r="G15" s="698">
        <v>25</v>
      </c>
      <c r="H15" s="719"/>
      <c r="I15" s="699" t="s">
        <v>598</v>
      </c>
      <c r="J15" s="707" t="s">
        <v>592</v>
      </c>
      <c r="K15" s="136" t="s">
        <v>593</v>
      </c>
      <c r="L15" s="723"/>
      <c r="M15" s="721"/>
    </row>
    <row r="16" spans="1:13" ht="21" customHeight="1" thickBot="1">
      <c r="A16" s="681">
        <v>13</v>
      </c>
      <c r="B16" s="699" t="s">
        <v>577</v>
      </c>
      <c r="C16" s="704">
        <f>2100*280*4/100000</f>
        <v>23.52</v>
      </c>
      <c r="D16" s="705"/>
      <c r="E16" s="705"/>
      <c r="F16" s="680"/>
      <c r="G16" s="698">
        <v>25</v>
      </c>
      <c r="H16" s="718"/>
      <c r="I16" s="699" t="s">
        <v>590</v>
      </c>
      <c r="J16" s="137" t="s">
        <v>585</v>
      </c>
      <c r="K16" s="136" t="s">
        <v>586</v>
      </c>
      <c r="L16" s="722">
        <v>41334</v>
      </c>
      <c r="M16" s="721">
        <v>41345</v>
      </c>
    </row>
    <row r="17" spans="1:13" ht="21" customHeight="1">
      <c r="A17" s="694">
        <v>14</v>
      </c>
      <c r="B17" s="699" t="s">
        <v>578</v>
      </c>
      <c r="C17" s="704">
        <f>1600*280*4/100000</f>
        <v>17.920000000000002</v>
      </c>
      <c r="D17" s="705"/>
      <c r="E17" s="705"/>
      <c r="F17" s="680"/>
      <c r="G17" s="698">
        <v>25</v>
      </c>
      <c r="H17" s="718"/>
      <c r="I17" s="699" t="s">
        <v>591</v>
      </c>
      <c r="J17" s="137" t="s">
        <v>585</v>
      </c>
      <c r="K17" s="136" t="s">
        <v>586</v>
      </c>
      <c r="L17" s="722">
        <v>41334</v>
      </c>
      <c r="M17" s="721">
        <v>41345</v>
      </c>
    </row>
    <row r="18" spans="1:13" ht="21" customHeight="1">
      <c r="A18" s="694">
        <v>15</v>
      </c>
      <c r="B18" s="695"/>
      <c r="C18" s="696"/>
      <c r="D18" s="680"/>
      <c r="E18" s="680"/>
      <c r="F18" s="680"/>
      <c r="G18" s="698"/>
      <c r="H18" s="699"/>
      <c r="I18" s="129"/>
      <c r="J18" s="707"/>
      <c r="K18" s="136"/>
      <c r="L18" s="723"/>
      <c r="M18" s="721"/>
    </row>
    <row r="19" spans="1:13" ht="21" customHeight="1" thickBot="1">
      <c r="A19" s="708"/>
      <c r="B19" s="709" t="s">
        <v>135</v>
      </c>
      <c r="C19" s="710">
        <f>SUM(C4:C18)</f>
        <v>319.92187537995204</v>
      </c>
      <c r="D19" s="710">
        <f>SUM(D4:D18)</f>
        <v>0</v>
      </c>
      <c r="E19" s="710">
        <f>SUM(E4:E18)</f>
        <v>0</v>
      </c>
      <c r="F19" s="710">
        <f>SUM(F4:F18)</f>
        <v>0</v>
      </c>
      <c r="G19" s="711"/>
      <c r="H19" s="712"/>
      <c r="I19" s="713"/>
      <c r="J19" s="714"/>
      <c r="K19" s="713"/>
      <c r="L19" s="715"/>
      <c r="M19" s="716"/>
    </row>
    <row r="20" spans="1:13" ht="37.5" customHeight="1" thickBot="1">
      <c r="A20" s="797" t="s">
        <v>149</v>
      </c>
      <c r="B20" s="798"/>
      <c r="C20" s="798"/>
      <c r="D20" s="798"/>
      <c r="E20" s="798"/>
      <c r="F20" s="798"/>
      <c r="G20" s="798"/>
      <c r="H20" s="798"/>
      <c r="I20" s="798"/>
      <c r="J20" s="798"/>
      <c r="K20" s="798"/>
      <c r="L20" s="798"/>
      <c r="M20" s="799"/>
    </row>
    <row r="21" spans="1:13" ht="21" customHeight="1" thickBot="1">
      <c r="A21" s="726">
        <v>1</v>
      </c>
      <c r="B21" s="689" t="s">
        <v>546</v>
      </c>
      <c r="C21" s="727">
        <f>+'Master Plan-SKH3'!E67</f>
        <v>1.54</v>
      </c>
      <c r="D21" s="728"/>
      <c r="E21" s="728"/>
      <c r="F21" s="729"/>
      <c r="G21" s="698">
        <v>25</v>
      </c>
      <c r="H21" s="718"/>
      <c r="I21" s="689"/>
      <c r="J21" s="730"/>
      <c r="K21" s="730"/>
      <c r="L21" s="730" t="str">
        <f>'Master Plan-SKH3'!I67</f>
        <v>20/4/2013</v>
      </c>
      <c r="M21" s="693"/>
    </row>
    <row r="22" spans="1:13" ht="23.25" customHeight="1" thickBot="1">
      <c r="A22" s="731">
        <v>2</v>
      </c>
      <c r="B22" s="699" t="s">
        <v>548</v>
      </c>
      <c r="C22" s="704">
        <f>+'Master Plan-SKH3'!E69</f>
        <v>5.0633928750828797E-2</v>
      </c>
      <c r="D22" s="732"/>
      <c r="E22" s="732"/>
      <c r="F22" s="733"/>
      <c r="G22" s="698">
        <v>25</v>
      </c>
      <c r="H22" s="718"/>
      <c r="I22" s="699"/>
      <c r="J22" s="694"/>
      <c r="K22" s="694"/>
      <c r="L22" s="694" t="str">
        <f>'Master Plan-SKH3'!I69</f>
        <v>27/4/2013</v>
      </c>
      <c r="M22" s="702"/>
    </row>
    <row r="23" spans="1:13" ht="32.25" customHeight="1" thickBot="1">
      <c r="A23" s="731">
        <v>3</v>
      </c>
      <c r="B23" s="734" t="s">
        <v>551</v>
      </c>
      <c r="C23" s="704">
        <f>+'Master Plan-SKH3'!E71</f>
        <v>5.6559999999999997</v>
      </c>
      <c r="D23" s="735"/>
      <c r="E23" s="704"/>
      <c r="F23" s="733"/>
      <c r="G23" s="698">
        <v>25</v>
      </c>
      <c r="H23" s="718"/>
      <c r="I23" s="699"/>
      <c r="J23" s="694"/>
      <c r="K23" s="694"/>
      <c r="L23" s="694" t="str">
        <f>'Master Plan-SKH3'!I71</f>
        <v>27/4/2013</v>
      </c>
      <c r="M23" s="702"/>
    </row>
    <row r="24" spans="1:13" ht="30.75" customHeight="1" thickBot="1">
      <c r="A24" s="731">
        <v>4</v>
      </c>
      <c r="B24" s="734" t="s">
        <v>566</v>
      </c>
      <c r="C24" s="704">
        <f>+'Master Plan-SKH3'!E73</f>
        <v>73.864000000000004</v>
      </c>
      <c r="D24" s="735"/>
      <c r="E24" s="731"/>
      <c r="F24" s="717"/>
      <c r="G24" s="698">
        <v>25</v>
      </c>
      <c r="H24" s="718"/>
      <c r="I24" s="740" t="s">
        <v>599</v>
      </c>
      <c r="J24" s="694"/>
      <c r="K24" s="694"/>
      <c r="L24" s="694"/>
      <c r="M24" s="702"/>
    </row>
    <row r="25" spans="1:13" ht="21" customHeight="1" thickBot="1">
      <c r="A25" s="731">
        <v>5</v>
      </c>
      <c r="B25" s="699" t="s">
        <v>567</v>
      </c>
      <c r="C25" s="704">
        <f>+'Master Plan-SKH3'!E75</f>
        <v>120.60533</v>
      </c>
      <c r="D25" s="735"/>
      <c r="E25" s="731"/>
      <c r="F25" s="717"/>
      <c r="G25" s="698">
        <v>25</v>
      </c>
      <c r="H25" s="718"/>
      <c r="I25" s="740" t="s">
        <v>599</v>
      </c>
      <c r="J25" s="694"/>
      <c r="K25" s="694"/>
      <c r="L25" s="694"/>
      <c r="M25" s="702"/>
    </row>
    <row r="26" spans="1:13" ht="21" customHeight="1" thickBot="1">
      <c r="A26" s="731">
        <v>6</v>
      </c>
      <c r="B26" s="699" t="s">
        <v>561</v>
      </c>
      <c r="C26" s="704">
        <f>+'Master Plan-SKH3'!E77</f>
        <v>1.20658</v>
      </c>
      <c r="D26" s="735"/>
      <c r="E26" s="731"/>
      <c r="F26" s="717"/>
      <c r="G26" s="698">
        <v>25</v>
      </c>
      <c r="H26" s="718"/>
      <c r="I26" s="740" t="s">
        <v>599</v>
      </c>
      <c r="J26" s="694"/>
      <c r="K26" s="694"/>
      <c r="L26" s="694"/>
      <c r="M26" s="702"/>
    </row>
    <row r="27" spans="1:13" ht="32.25" customHeight="1" thickBot="1">
      <c r="A27" s="731">
        <v>7</v>
      </c>
      <c r="B27" s="734" t="s">
        <v>568</v>
      </c>
      <c r="C27" s="704">
        <f>+'Master Plan-SKH3'!E79</f>
        <v>6.5519999999999996</v>
      </c>
      <c r="D27" s="735"/>
      <c r="E27" s="731"/>
      <c r="F27" s="717"/>
      <c r="G27" s="698">
        <v>25</v>
      </c>
      <c r="H27" s="718"/>
      <c r="I27" s="740" t="s">
        <v>599</v>
      </c>
      <c r="J27" s="694"/>
      <c r="K27" s="694"/>
      <c r="L27" s="694"/>
      <c r="M27" s="702"/>
    </row>
    <row r="28" spans="1:13" ht="21" customHeight="1" thickBot="1">
      <c r="A28" s="731">
        <v>8</v>
      </c>
      <c r="B28" s="699" t="s">
        <v>565</v>
      </c>
      <c r="C28" s="704">
        <f>+'Master Plan-SKH3'!E81</f>
        <v>58.035600000000002</v>
      </c>
      <c r="D28" s="735"/>
      <c r="E28" s="731"/>
      <c r="F28" s="717"/>
      <c r="G28" s="698">
        <v>25</v>
      </c>
      <c r="H28" s="718"/>
      <c r="I28" s="740" t="s">
        <v>599</v>
      </c>
      <c r="J28" s="694"/>
      <c r="K28" s="694"/>
      <c r="L28" s="694"/>
      <c r="M28" s="702"/>
    </row>
    <row r="29" spans="1:13" ht="21" customHeight="1">
      <c r="A29" s="736">
        <v>9</v>
      </c>
      <c r="B29" s="699" t="s">
        <v>581</v>
      </c>
      <c r="C29" s="704">
        <f>'SPM Upgr'!F17</f>
        <v>128.12721428571427</v>
      </c>
      <c r="D29" s="705"/>
      <c r="E29" s="705"/>
      <c r="F29" s="696"/>
      <c r="G29" s="698">
        <v>25</v>
      </c>
      <c r="H29" s="718"/>
      <c r="I29" s="699"/>
      <c r="J29" s="694"/>
      <c r="K29" s="694"/>
      <c r="L29" s="694"/>
      <c r="M29" s="702"/>
    </row>
    <row r="30" spans="1:13" ht="21" customHeight="1">
      <c r="A30" s="736"/>
      <c r="B30" s="699"/>
      <c r="C30" s="704"/>
      <c r="D30" s="705"/>
      <c r="E30" s="705"/>
      <c r="F30" s="696"/>
      <c r="G30" s="698"/>
      <c r="H30" s="699"/>
      <c r="I30" s="699"/>
      <c r="J30" s="694"/>
      <c r="K30" s="694"/>
      <c r="L30" s="694"/>
      <c r="M30" s="702"/>
    </row>
    <row r="31" spans="1:13" ht="21" customHeight="1">
      <c r="A31" s="736"/>
      <c r="B31" s="737" t="s">
        <v>129</v>
      </c>
      <c r="C31" s="738">
        <f>SUM(C21:C29)</f>
        <v>395.63735821446511</v>
      </c>
      <c r="D31" s="738">
        <f>SUM(D21:D28)</f>
        <v>0</v>
      </c>
      <c r="E31" s="738">
        <f>SUM(E21:E28)</f>
        <v>0</v>
      </c>
      <c r="F31" s="738">
        <f>SUM(F21:F28)</f>
        <v>0</v>
      </c>
      <c r="G31" s="129"/>
      <c r="H31" s="129"/>
      <c r="I31" s="129"/>
      <c r="J31" s="129"/>
      <c r="K31" s="129"/>
      <c r="L31" s="129"/>
      <c r="M31" s="694"/>
    </row>
    <row r="32" spans="1:13" ht="21" customHeight="1">
      <c r="A32" s="486"/>
      <c r="B32" s="486"/>
      <c r="C32" s="739">
        <f>C19+C31</f>
        <v>715.55923359441715</v>
      </c>
      <c r="D32" s="739">
        <f>D19+D31</f>
        <v>0</v>
      </c>
      <c r="E32" s="739">
        <f>E19+E31</f>
        <v>0</v>
      </c>
      <c r="F32" s="739">
        <f>F19+F31</f>
        <v>0</v>
      </c>
      <c r="G32" s="486"/>
      <c r="H32" s="486"/>
      <c r="I32" s="486"/>
      <c r="J32" s="486"/>
      <c r="K32" s="486"/>
      <c r="L32" s="486"/>
      <c r="M32" s="486"/>
    </row>
    <row r="33" spans="1:13" ht="15.75" thickBo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5.75" thickBot="1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/>
      <c r="B37" s="2"/>
      <c r="C37" s="2"/>
      <c r="D37" s="2"/>
      <c r="E37" s="2"/>
      <c r="F37" s="2"/>
      <c r="G37" s="2"/>
      <c r="H37" s="2"/>
      <c r="J37" s="2"/>
      <c r="K37" s="2"/>
      <c r="L37" s="2"/>
      <c r="M37" s="2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4"/>
      <c r="J41" s="2"/>
      <c r="K41" s="2"/>
      <c r="L41" s="2"/>
      <c r="M41" s="2"/>
    </row>
    <row r="42" spans="1:13">
      <c r="A42" s="2"/>
      <c r="B42" s="2"/>
      <c r="C42" s="2"/>
      <c r="D42" s="2"/>
      <c r="E42" s="2"/>
      <c r="F42" s="2"/>
      <c r="G42" s="2"/>
      <c r="H42" s="2"/>
      <c r="I42" s="4"/>
      <c r="J42" s="2"/>
      <c r="K42" s="2"/>
      <c r="L42" s="2"/>
      <c r="M42" s="2"/>
    </row>
    <row r="43" spans="1:13">
      <c r="A43" s="2"/>
      <c r="B43" s="2"/>
      <c r="C43" s="2"/>
      <c r="D43" s="2"/>
      <c r="E43" s="2"/>
      <c r="F43" s="2"/>
      <c r="G43" s="2"/>
      <c r="H43" s="2"/>
      <c r="I43" s="4"/>
      <c r="J43" s="2"/>
      <c r="K43" s="2"/>
      <c r="L43" s="2"/>
      <c r="M43" s="2"/>
    </row>
    <row r="44" spans="1:13">
      <c r="A44" s="2"/>
      <c r="B44" s="2"/>
      <c r="C44" s="2"/>
      <c r="D44" s="2"/>
      <c r="E44" s="2"/>
      <c r="F44" s="2"/>
      <c r="G44" s="2"/>
      <c r="H44" s="2"/>
      <c r="I44" s="4"/>
      <c r="J44" s="2"/>
      <c r="K44" s="2"/>
      <c r="L44" s="2"/>
      <c r="M44" s="2"/>
    </row>
    <row r="45" spans="1:13">
      <c r="A45" s="2"/>
      <c r="B45" s="2"/>
      <c r="C45" s="2"/>
      <c r="D45" s="2"/>
      <c r="E45" s="2"/>
      <c r="F45" s="2"/>
      <c r="G45" s="2"/>
      <c r="H45" s="2"/>
      <c r="I45" s="4"/>
      <c r="J45" s="2"/>
      <c r="K45" s="2"/>
      <c r="L45" s="2"/>
      <c r="M45" s="2"/>
    </row>
    <row r="46" spans="1:13">
      <c r="A46" s="2"/>
      <c r="B46" s="2"/>
      <c r="C46" s="2"/>
      <c r="D46" s="2"/>
      <c r="E46" s="2"/>
      <c r="F46" s="2"/>
      <c r="G46" s="2"/>
      <c r="H46" s="2"/>
      <c r="I46" s="4"/>
      <c r="J46" s="2"/>
      <c r="K46" s="2"/>
      <c r="L46" s="2"/>
      <c r="M46" s="2"/>
    </row>
    <row r="47" spans="1:13">
      <c r="A47" s="2"/>
      <c r="B47" s="2"/>
      <c r="C47" s="2"/>
      <c r="D47" s="2"/>
      <c r="E47" s="2"/>
      <c r="F47" s="2"/>
      <c r="G47" s="2"/>
      <c r="H47" s="2"/>
      <c r="I47" s="4"/>
      <c r="J47" s="2"/>
      <c r="K47" s="2"/>
      <c r="L47" s="2"/>
      <c r="M47" s="2"/>
    </row>
    <row r="48" spans="1:13">
      <c r="A48" s="2"/>
      <c r="B48" s="2"/>
      <c r="C48" s="2"/>
      <c r="D48" s="2"/>
      <c r="E48" s="2"/>
      <c r="F48" s="2"/>
      <c r="G48" s="2"/>
      <c r="H48" s="2"/>
      <c r="I48" s="4"/>
      <c r="J48" s="2"/>
      <c r="K48" s="2"/>
      <c r="L48" s="2"/>
      <c r="M48" s="2"/>
    </row>
    <row r="49" spans="1:13">
      <c r="A49" s="2"/>
      <c r="B49" s="2"/>
      <c r="C49" s="2"/>
      <c r="D49" s="2"/>
      <c r="E49" s="2"/>
      <c r="F49" s="2"/>
      <c r="G49" s="2"/>
      <c r="H49" s="2"/>
      <c r="I49" s="4"/>
      <c r="J49" s="2"/>
      <c r="K49" s="2"/>
      <c r="L49" s="2"/>
      <c r="M49" s="2"/>
    </row>
    <row r="50" spans="1:13">
      <c r="A50" s="2"/>
      <c r="B50" s="2"/>
      <c r="C50" s="2"/>
      <c r="D50" s="2"/>
      <c r="E50" s="2"/>
      <c r="F50" s="2"/>
      <c r="G50" s="2"/>
      <c r="H50" s="2"/>
      <c r="I50" s="4"/>
      <c r="J50" s="2"/>
      <c r="K50" s="2"/>
      <c r="L50" s="2"/>
      <c r="M50" s="2"/>
    </row>
    <row r="51" spans="1:13">
      <c r="A51" s="2"/>
      <c r="B51" s="2"/>
      <c r="C51" s="2"/>
      <c r="D51" s="2"/>
      <c r="E51" s="2"/>
      <c r="F51" s="2"/>
      <c r="G51" s="2"/>
      <c r="H51" s="2"/>
      <c r="I51" s="4"/>
      <c r="J51" s="2"/>
      <c r="K51" s="2"/>
      <c r="L51" s="2"/>
      <c r="M51" s="2"/>
    </row>
    <row r="52" spans="1:13">
      <c r="A52" s="2"/>
      <c r="B52" s="2"/>
      <c r="C52" s="2"/>
      <c r="D52" s="2"/>
      <c r="E52" s="2"/>
      <c r="F52" s="2"/>
      <c r="G52" s="2"/>
      <c r="H52" s="2"/>
      <c r="I52" s="4"/>
      <c r="J52" s="2"/>
      <c r="K52" s="2"/>
      <c r="L52" s="2"/>
      <c r="M52" s="2"/>
    </row>
    <row r="53" spans="1:13">
      <c r="A53" s="2"/>
      <c r="B53" s="2"/>
      <c r="C53" s="2"/>
      <c r="D53" s="2"/>
      <c r="E53" s="2"/>
      <c r="F53" s="2"/>
      <c r="G53" s="2"/>
      <c r="H53" s="2"/>
      <c r="I53" s="4"/>
      <c r="J53" s="2"/>
      <c r="K53" s="2"/>
      <c r="L53" s="2"/>
      <c r="M53" s="2"/>
    </row>
    <row r="54" spans="1:13">
      <c r="A54" s="2"/>
      <c r="B54" s="2"/>
      <c r="C54" s="2"/>
      <c r="D54" s="2"/>
      <c r="E54" s="2"/>
      <c r="F54" s="2"/>
      <c r="G54" s="2"/>
      <c r="H54" s="2"/>
      <c r="I54" s="4"/>
      <c r="J54" s="2"/>
      <c r="K54" s="2"/>
      <c r="L54" s="2"/>
      <c r="M54" s="2"/>
    </row>
    <row r="55" spans="1:13">
      <c r="A55" s="2"/>
      <c r="B55" s="2"/>
      <c r="C55" s="2"/>
      <c r="D55" s="2"/>
      <c r="E55" s="2"/>
      <c r="F55" s="2"/>
      <c r="G55" s="2"/>
      <c r="H55" s="2"/>
      <c r="I55" s="4"/>
      <c r="J55" s="2"/>
      <c r="K55" s="2"/>
      <c r="L55" s="2"/>
      <c r="M55" s="2"/>
    </row>
    <row r="56" spans="1:13">
      <c r="A56" s="2"/>
      <c r="B56" s="2"/>
      <c r="C56" s="2"/>
      <c r="D56" s="2"/>
      <c r="E56" s="2"/>
      <c r="F56" s="2"/>
      <c r="G56" s="2"/>
      <c r="H56" s="2"/>
      <c r="I56" s="4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4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4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4"/>
      <c r="J59" s="2"/>
      <c r="K59" s="2"/>
      <c r="L59" s="2"/>
      <c r="M59" s="2"/>
    </row>
    <row r="60" spans="1:13">
      <c r="A60" s="2"/>
      <c r="B60" s="2"/>
      <c r="C60" s="2"/>
      <c r="D60" s="2"/>
      <c r="E60" s="2"/>
      <c r="F60" s="2"/>
      <c r="G60" s="2"/>
      <c r="H60" s="2"/>
      <c r="I60" s="4"/>
      <c r="J60" s="2"/>
      <c r="K60" s="2"/>
      <c r="L60" s="2"/>
      <c r="M60" s="2"/>
    </row>
    <row r="61" spans="1:13">
      <c r="A61" s="2"/>
      <c r="B61" s="2"/>
      <c r="C61" s="2"/>
      <c r="D61" s="2"/>
      <c r="E61" s="2"/>
      <c r="F61" s="2"/>
      <c r="G61" s="2"/>
      <c r="H61" s="2"/>
      <c r="I61" s="4"/>
      <c r="J61" s="2"/>
      <c r="K61" s="2"/>
      <c r="L61" s="2"/>
      <c r="M61" s="2"/>
    </row>
    <row r="62" spans="1:13">
      <c r="A62" s="2"/>
      <c r="B62" s="2"/>
      <c r="C62" s="2"/>
      <c r="D62" s="2"/>
      <c r="E62" s="2"/>
      <c r="F62" s="2"/>
      <c r="G62" s="2"/>
      <c r="H62" s="2"/>
      <c r="I62" s="4"/>
      <c r="J62" s="2"/>
      <c r="K62" s="2"/>
      <c r="L62" s="2"/>
      <c r="M62" s="2"/>
    </row>
    <row r="63" spans="1:13">
      <c r="A63" s="2"/>
      <c r="B63" s="2"/>
      <c r="C63" s="2"/>
      <c r="D63" s="2"/>
      <c r="E63" s="2"/>
      <c r="F63" s="2"/>
      <c r="G63" s="2"/>
      <c r="H63" s="2"/>
      <c r="I63" s="4"/>
      <c r="J63" s="2"/>
      <c r="K63" s="2"/>
      <c r="L63" s="2"/>
      <c r="M63" s="2"/>
    </row>
    <row r="64" spans="1:13">
      <c r="A64" s="2"/>
      <c r="B64" s="2"/>
      <c r="C64" s="2"/>
      <c r="D64" s="2"/>
      <c r="E64" s="2"/>
      <c r="F64" s="2"/>
      <c r="G64" s="2"/>
      <c r="H64" s="2"/>
      <c r="I64" s="4"/>
      <c r="J64" s="2"/>
      <c r="K64" s="2"/>
      <c r="L64" s="2"/>
      <c r="M64" s="2"/>
    </row>
    <row r="65" spans="1:13">
      <c r="A65" s="2"/>
      <c r="B65" s="2"/>
      <c r="C65" s="2"/>
      <c r="D65" s="2"/>
      <c r="E65" s="2"/>
      <c r="F65" s="2"/>
      <c r="G65" s="2"/>
      <c r="H65" s="2"/>
      <c r="I65" s="4"/>
      <c r="J65" s="2"/>
      <c r="K65" s="2"/>
      <c r="L65" s="2"/>
      <c r="M65" s="2"/>
    </row>
    <row r="66" spans="1:13">
      <c r="A66" s="2"/>
      <c r="B66" s="2"/>
      <c r="C66" s="2"/>
      <c r="D66" s="2"/>
      <c r="E66" s="2"/>
      <c r="F66" s="2"/>
      <c r="G66" s="2"/>
      <c r="H66" s="2"/>
      <c r="I66" s="4"/>
      <c r="J66" s="2"/>
      <c r="K66" s="2"/>
      <c r="L66" s="2"/>
      <c r="M66" s="2"/>
    </row>
    <row r="67" spans="1:13">
      <c r="A67" s="2"/>
      <c r="B67" s="2"/>
      <c r="C67" s="2"/>
      <c r="D67" s="2"/>
      <c r="E67" s="2"/>
      <c r="F67" s="2"/>
      <c r="G67" s="2"/>
      <c r="H67" s="2"/>
      <c r="I67" s="4"/>
      <c r="J67" s="2"/>
      <c r="K67" s="2"/>
      <c r="L67" s="2"/>
      <c r="M67" s="2"/>
    </row>
    <row r="68" spans="1:13" ht="15.75" thickBot="1">
      <c r="A68" s="2"/>
      <c r="B68" s="3"/>
      <c r="C68" s="3"/>
      <c r="D68" s="3"/>
      <c r="E68" s="3"/>
      <c r="F68" s="3"/>
      <c r="G68" s="3"/>
      <c r="H68" s="3"/>
      <c r="I68" s="5"/>
      <c r="J68" s="3"/>
      <c r="K68" s="3"/>
      <c r="L68" s="3"/>
      <c r="M68" s="3"/>
    </row>
    <row r="69" spans="1:13" ht="15.75" thickBot="1">
      <c r="A69" s="3"/>
    </row>
  </sheetData>
  <mergeCells count="16">
    <mergeCell ref="A20:M20"/>
    <mergeCell ref="L6:L7"/>
    <mergeCell ref="I1:J1"/>
    <mergeCell ref="I2:I3"/>
    <mergeCell ref="L2:L3"/>
    <mergeCell ref="H2:H3"/>
    <mergeCell ref="L1:M1"/>
    <mergeCell ref="A2:A3"/>
    <mergeCell ref="B2:B3"/>
    <mergeCell ref="C2:C3"/>
    <mergeCell ref="M2:M3"/>
    <mergeCell ref="D2:G2"/>
    <mergeCell ref="K2:K3"/>
    <mergeCell ref="A1:B1"/>
    <mergeCell ref="C1:H1"/>
    <mergeCell ref="J2:J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88"/>
  <sheetViews>
    <sheetView showWhiteSpace="0" view="pageBreakPreview" zoomScale="60" zoomScaleNormal="7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E17" sqref="E17"/>
    </sheetView>
  </sheetViews>
  <sheetFormatPr defaultRowHeight="15"/>
  <cols>
    <col min="1" max="1" width="18.42578125" style="87" customWidth="1"/>
    <col min="2" max="2" width="9.5703125" style="87" customWidth="1"/>
    <col min="3" max="3" width="22" style="87" customWidth="1"/>
    <col min="4" max="4" width="11.140625" style="87" customWidth="1"/>
    <col min="5" max="5" width="19" style="87" customWidth="1"/>
    <col min="6" max="6" width="9.140625" style="87"/>
    <col min="7" max="7" width="10" style="87" bestFit="1" customWidth="1"/>
    <col min="8" max="8" width="10.5703125" style="87" bestFit="1" customWidth="1"/>
    <col min="9" max="9" width="15.28515625" style="87" bestFit="1" customWidth="1"/>
    <col min="10" max="10" width="11.5703125" style="87" customWidth="1"/>
    <col min="11" max="11" width="9.42578125" style="87" customWidth="1"/>
    <col min="12" max="15" width="7.7109375" style="87" customWidth="1"/>
    <col min="16" max="16" width="7" style="87" bestFit="1" customWidth="1"/>
    <col min="17" max="55" width="7.7109375" style="87" customWidth="1"/>
    <col min="56" max="56" width="12" style="87" customWidth="1"/>
    <col min="57" max="57" width="9.140625" style="87"/>
    <col min="58" max="58" width="10" style="87" bestFit="1" customWidth="1"/>
    <col min="59" max="16384" width="9.140625" style="87"/>
  </cols>
  <sheetData>
    <row r="1" spans="1:64" ht="37.5" customHeight="1">
      <c r="A1" s="882" t="s">
        <v>384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  <c r="Y1" s="883"/>
      <c r="Z1" s="883"/>
      <c r="AA1" s="883"/>
      <c r="AB1" s="883"/>
      <c r="AC1" s="883"/>
      <c r="AD1" s="883"/>
      <c r="AE1" s="883"/>
      <c r="AF1" s="883"/>
      <c r="AG1" s="883"/>
      <c r="AH1" s="883"/>
      <c r="AI1" s="883"/>
      <c r="AJ1" s="883"/>
      <c r="AK1" s="883"/>
      <c r="AL1" s="883"/>
      <c r="AM1" s="883"/>
      <c r="AN1" s="883"/>
      <c r="AO1" s="883"/>
      <c r="AP1" s="883"/>
      <c r="AQ1" s="883"/>
      <c r="AR1" s="883"/>
      <c r="AS1" s="883"/>
      <c r="AT1" s="883"/>
      <c r="AU1" s="883"/>
      <c r="AV1" s="883"/>
      <c r="AW1" s="883"/>
      <c r="AX1" s="883"/>
      <c r="AY1" s="883"/>
      <c r="AZ1" s="883"/>
      <c r="BA1" s="883"/>
      <c r="BB1" s="883"/>
      <c r="BC1" s="883"/>
      <c r="BD1" s="883"/>
      <c r="BE1" s="642"/>
    </row>
    <row r="2" spans="1:64" ht="15.75" customHeight="1">
      <c r="A2" s="899" t="s">
        <v>343</v>
      </c>
      <c r="B2" s="900"/>
      <c r="C2" s="900"/>
      <c r="D2" s="900"/>
      <c r="E2" s="900"/>
      <c r="F2" s="900"/>
      <c r="G2" s="901" t="s">
        <v>344</v>
      </c>
      <c r="H2" s="901"/>
      <c r="I2" s="901"/>
      <c r="J2" s="901"/>
      <c r="K2" s="901"/>
      <c r="L2" s="901"/>
      <c r="M2" s="901"/>
      <c r="N2" s="901"/>
      <c r="O2" s="901"/>
      <c r="P2" s="901"/>
      <c r="Q2" s="901"/>
      <c r="R2" s="901"/>
      <c r="S2" s="901"/>
      <c r="T2" s="901"/>
      <c r="U2" s="901"/>
      <c r="V2" s="901"/>
      <c r="W2" s="901"/>
      <c r="X2" s="901"/>
      <c r="Y2" s="901"/>
      <c r="Z2" s="901"/>
      <c r="AA2" s="901"/>
      <c r="AB2" s="901"/>
      <c r="AC2" s="901"/>
      <c r="AD2" s="901"/>
      <c r="AE2" s="901"/>
      <c r="AF2" s="901"/>
      <c r="AG2" s="901"/>
      <c r="AH2" s="901"/>
      <c r="AI2" s="901"/>
      <c r="AJ2" s="901"/>
      <c r="AK2" s="901"/>
      <c r="AL2" s="901"/>
      <c r="AM2" s="901"/>
      <c r="AN2" s="901"/>
      <c r="AO2" s="901"/>
      <c r="AP2" s="901"/>
      <c r="AQ2" s="901"/>
      <c r="AR2" s="901"/>
      <c r="AS2" s="901"/>
      <c r="AT2" s="901"/>
      <c r="AU2" s="901"/>
      <c r="AV2" s="901"/>
      <c r="AW2" s="901"/>
      <c r="AX2" s="901"/>
      <c r="AY2" s="901"/>
      <c r="AZ2" s="901"/>
      <c r="BA2" s="643"/>
      <c r="BB2" s="643"/>
      <c r="BC2" s="643"/>
      <c r="BD2" s="881" t="s">
        <v>135</v>
      </c>
      <c r="BE2" s="877" t="s">
        <v>454</v>
      </c>
      <c r="BF2" s="644"/>
      <c r="BG2" s="644"/>
      <c r="BH2" s="644"/>
      <c r="BI2" s="644"/>
      <c r="BJ2" s="644"/>
      <c r="BK2" s="644"/>
      <c r="BL2" s="644"/>
    </row>
    <row r="3" spans="1:64" ht="23.25" customHeight="1">
      <c r="A3" s="895" t="s">
        <v>303</v>
      </c>
      <c r="B3" s="881" t="s">
        <v>304</v>
      </c>
      <c r="C3" s="881" t="s">
        <v>305</v>
      </c>
      <c r="D3" s="881" t="s">
        <v>308</v>
      </c>
      <c r="E3" s="881" t="s">
        <v>555</v>
      </c>
      <c r="F3" s="881" t="s">
        <v>346</v>
      </c>
      <c r="G3" s="881"/>
      <c r="H3" s="881"/>
      <c r="I3" s="881" t="s">
        <v>347</v>
      </c>
      <c r="J3" s="881" t="s">
        <v>348</v>
      </c>
      <c r="K3" s="645" t="s">
        <v>349</v>
      </c>
      <c r="L3" s="878" t="s">
        <v>350</v>
      </c>
      <c r="M3" s="879"/>
      <c r="N3" s="879"/>
      <c r="O3" s="880"/>
      <c r="P3" s="878" t="s">
        <v>351</v>
      </c>
      <c r="Q3" s="879"/>
      <c r="R3" s="879"/>
      <c r="S3" s="880"/>
      <c r="T3" s="878" t="s">
        <v>352</v>
      </c>
      <c r="U3" s="879"/>
      <c r="V3" s="879"/>
      <c r="W3" s="880"/>
      <c r="X3" s="878" t="s">
        <v>353</v>
      </c>
      <c r="Y3" s="879"/>
      <c r="Z3" s="879"/>
      <c r="AA3" s="880"/>
      <c r="AB3" s="878" t="s">
        <v>354</v>
      </c>
      <c r="AC3" s="879"/>
      <c r="AD3" s="879"/>
      <c r="AE3" s="880"/>
      <c r="AF3" s="878" t="s">
        <v>355</v>
      </c>
      <c r="AG3" s="879"/>
      <c r="AH3" s="879"/>
      <c r="AI3" s="880"/>
      <c r="AJ3" s="878" t="s">
        <v>356</v>
      </c>
      <c r="AK3" s="879"/>
      <c r="AL3" s="879"/>
      <c r="AM3" s="880"/>
      <c r="AN3" s="878" t="s">
        <v>357</v>
      </c>
      <c r="AO3" s="879"/>
      <c r="AP3" s="879"/>
      <c r="AQ3" s="880"/>
      <c r="AR3" s="878" t="s">
        <v>358</v>
      </c>
      <c r="AS3" s="879"/>
      <c r="AT3" s="879"/>
      <c r="AU3" s="880"/>
      <c r="AV3" s="878" t="s">
        <v>359</v>
      </c>
      <c r="AW3" s="879"/>
      <c r="AX3" s="879"/>
      <c r="AY3" s="880"/>
      <c r="AZ3" s="878" t="s">
        <v>360</v>
      </c>
      <c r="BA3" s="879"/>
      <c r="BB3" s="879"/>
      <c r="BC3" s="880"/>
      <c r="BD3" s="881"/>
      <c r="BE3" s="877"/>
      <c r="BF3" s="644"/>
      <c r="BG3" s="644"/>
      <c r="BH3" s="644"/>
      <c r="BI3" s="644"/>
      <c r="BJ3" s="644"/>
      <c r="BK3" s="644"/>
      <c r="BL3" s="644"/>
    </row>
    <row r="4" spans="1:64" ht="23.25" customHeight="1">
      <c r="A4" s="895"/>
      <c r="B4" s="881"/>
      <c r="C4" s="881"/>
      <c r="D4" s="881"/>
      <c r="E4" s="881"/>
      <c r="F4" s="881"/>
      <c r="G4" s="881"/>
      <c r="H4" s="881"/>
      <c r="I4" s="881"/>
      <c r="J4" s="881"/>
      <c r="K4" s="645" t="s">
        <v>455</v>
      </c>
      <c r="L4" s="646" t="s">
        <v>456</v>
      </c>
      <c r="M4" s="646" t="s">
        <v>457</v>
      </c>
      <c r="N4" s="646" t="s">
        <v>458</v>
      </c>
      <c r="O4" s="646" t="s">
        <v>459</v>
      </c>
      <c r="P4" s="646" t="s">
        <v>456</v>
      </c>
      <c r="Q4" s="646" t="s">
        <v>457</v>
      </c>
      <c r="R4" s="646" t="s">
        <v>458</v>
      </c>
      <c r="S4" s="646" t="s">
        <v>459</v>
      </c>
      <c r="T4" s="646" t="s">
        <v>456</v>
      </c>
      <c r="U4" s="646" t="s">
        <v>457</v>
      </c>
      <c r="V4" s="646" t="s">
        <v>458</v>
      </c>
      <c r="W4" s="646" t="s">
        <v>459</v>
      </c>
      <c r="X4" s="646" t="s">
        <v>456</v>
      </c>
      <c r="Y4" s="646" t="s">
        <v>457</v>
      </c>
      <c r="Z4" s="646" t="s">
        <v>458</v>
      </c>
      <c r="AA4" s="646" t="s">
        <v>459</v>
      </c>
      <c r="AB4" s="646" t="s">
        <v>456</v>
      </c>
      <c r="AC4" s="646" t="s">
        <v>457</v>
      </c>
      <c r="AD4" s="646" t="s">
        <v>458</v>
      </c>
      <c r="AE4" s="646" t="s">
        <v>459</v>
      </c>
      <c r="AF4" s="646" t="s">
        <v>456</v>
      </c>
      <c r="AG4" s="646" t="s">
        <v>457</v>
      </c>
      <c r="AH4" s="646" t="s">
        <v>458</v>
      </c>
      <c r="AI4" s="646" t="s">
        <v>459</v>
      </c>
      <c r="AJ4" s="646" t="s">
        <v>456</v>
      </c>
      <c r="AK4" s="646" t="s">
        <v>457</v>
      </c>
      <c r="AL4" s="646" t="s">
        <v>458</v>
      </c>
      <c r="AM4" s="646" t="s">
        <v>459</v>
      </c>
      <c r="AN4" s="646" t="s">
        <v>456</v>
      </c>
      <c r="AO4" s="646" t="s">
        <v>457</v>
      </c>
      <c r="AP4" s="646" t="s">
        <v>458</v>
      </c>
      <c r="AQ4" s="646" t="s">
        <v>459</v>
      </c>
      <c r="AR4" s="646" t="s">
        <v>456</v>
      </c>
      <c r="AS4" s="646" t="s">
        <v>457</v>
      </c>
      <c r="AT4" s="646" t="s">
        <v>458</v>
      </c>
      <c r="AU4" s="646" t="s">
        <v>459</v>
      </c>
      <c r="AV4" s="646" t="s">
        <v>456</v>
      </c>
      <c r="AW4" s="646" t="s">
        <v>457</v>
      </c>
      <c r="AX4" s="646" t="s">
        <v>458</v>
      </c>
      <c r="AY4" s="646" t="s">
        <v>459</v>
      </c>
      <c r="AZ4" s="646" t="s">
        <v>456</v>
      </c>
      <c r="BA4" s="646" t="s">
        <v>457</v>
      </c>
      <c r="BB4" s="646" t="s">
        <v>458</v>
      </c>
      <c r="BC4" s="646" t="s">
        <v>459</v>
      </c>
      <c r="BD4" s="647"/>
      <c r="BE4" s="648"/>
      <c r="BF4" s="644"/>
      <c r="BG4" s="644"/>
      <c r="BH4" s="644"/>
      <c r="BI4" s="644"/>
      <c r="BJ4" s="644"/>
      <c r="BK4" s="644"/>
      <c r="BL4" s="644"/>
    </row>
    <row r="5" spans="1:64" ht="24.95" customHeight="1">
      <c r="A5" s="850" t="s">
        <v>383</v>
      </c>
      <c r="B5" s="847">
        <v>1</v>
      </c>
      <c r="C5" s="887" t="e">
        <f>#REF!</f>
        <v>#REF!</v>
      </c>
      <c r="D5" s="835" t="s">
        <v>339</v>
      </c>
      <c r="E5" s="499" t="e">
        <f>#REF!</f>
        <v>#REF!</v>
      </c>
      <c r="F5" s="836" t="s">
        <v>554</v>
      </c>
      <c r="G5" s="836"/>
      <c r="H5" s="836"/>
      <c r="I5" s="853"/>
      <c r="J5" s="498">
        <f>BD5</f>
        <v>0</v>
      </c>
      <c r="K5" s="351" t="s">
        <v>361</v>
      </c>
      <c r="L5" s="292"/>
      <c r="M5" s="292"/>
      <c r="N5" s="292"/>
      <c r="O5" s="292"/>
      <c r="P5" s="292"/>
      <c r="Q5" s="292"/>
      <c r="R5" s="292"/>
      <c r="S5" s="292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>
        <f>SUM(T5:BC5)</f>
        <v>0</v>
      </c>
      <c r="BE5" s="501">
        <f>AZ5/25</f>
        <v>0</v>
      </c>
      <c r="BF5" s="644"/>
      <c r="BG5" s="644"/>
      <c r="BH5" s="644"/>
      <c r="BI5" s="644"/>
      <c r="BJ5" s="644"/>
      <c r="BK5" s="644"/>
      <c r="BL5" s="644"/>
    </row>
    <row r="6" spans="1:64" ht="24.95" customHeight="1">
      <c r="A6" s="851"/>
      <c r="B6" s="847"/>
      <c r="C6" s="887"/>
      <c r="D6" s="835"/>
      <c r="E6" s="499"/>
      <c r="F6" s="836"/>
      <c r="G6" s="836"/>
      <c r="H6" s="836"/>
      <c r="I6" s="854"/>
      <c r="J6" s="496"/>
      <c r="K6" s="297" t="s">
        <v>362</v>
      </c>
      <c r="L6" s="292"/>
      <c r="M6" s="292"/>
      <c r="N6" s="292"/>
      <c r="O6" s="292"/>
      <c r="P6" s="292"/>
      <c r="Q6" s="292"/>
      <c r="R6" s="292"/>
      <c r="S6" s="292"/>
      <c r="T6" s="292"/>
      <c r="U6" s="649"/>
      <c r="V6" s="649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650">
        <f>SUM(U6:BC6)</f>
        <v>0</v>
      </c>
      <c r="BE6" s="284"/>
      <c r="BF6" s="644"/>
      <c r="BG6" s="644"/>
      <c r="BH6" s="644"/>
      <c r="BI6" s="644"/>
      <c r="BJ6" s="644"/>
      <c r="BK6" s="644"/>
      <c r="BL6" s="644"/>
    </row>
    <row r="7" spans="1:64" ht="24.95" customHeight="1">
      <c r="A7" s="851"/>
      <c r="B7" s="847">
        <v>2</v>
      </c>
      <c r="C7" s="848"/>
      <c r="D7" s="890"/>
      <c r="E7" s="499"/>
      <c r="F7" s="836"/>
      <c r="G7" s="836"/>
      <c r="H7" s="836"/>
      <c r="I7" s="853"/>
      <c r="J7" s="498">
        <f>BD7</f>
        <v>0</v>
      </c>
      <c r="K7" s="351" t="s">
        <v>361</v>
      </c>
      <c r="L7" s="292"/>
      <c r="M7" s="292"/>
      <c r="N7" s="292"/>
      <c r="O7" s="292"/>
      <c r="P7" s="292"/>
      <c r="Q7" s="292"/>
      <c r="R7" s="292"/>
      <c r="S7" s="292"/>
      <c r="T7" s="284">
        <f>E7/48</f>
        <v>0</v>
      </c>
      <c r="U7" s="284">
        <f t="shared" ref="U7:BC7" si="0">T7</f>
        <v>0</v>
      </c>
      <c r="V7" s="284">
        <f t="shared" si="0"/>
        <v>0</v>
      </c>
      <c r="W7" s="284">
        <f t="shared" si="0"/>
        <v>0</v>
      </c>
      <c r="X7" s="284">
        <f t="shared" si="0"/>
        <v>0</v>
      </c>
      <c r="Y7" s="284">
        <f t="shared" si="0"/>
        <v>0</v>
      </c>
      <c r="Z7" s="284">
        <f t="shared" si="0"/>
        <v>0</v>
      </c>
      <c r="AA7" s="284">
        <f t="shared" si="0"/>
        <v>0</v>
      </c>
      <c r="AB7" s="284">
        <f t="shared" si="0"/>
        <v>0</v>
      </c>
      <c r="AC7" s="284">
        <f t="shared" si="0"/>
        <v>0</v>
      </c>
      <c r="AD7" s="284">
        <f t="shared" si="0"/>
        <v>0</v>
      </c>
      <c r="AE7" s="284">
        <f t="shared" si="0"/>
        <v>0</v>
      </c>
      <c r="AF7" s="284">
        <f t="shared" si="0"/>
        <v>0</v>
      </c>
      <c r="AG7" s="284">
        <f t="shared" si="0"/>
        <v>0</v>
      </c>
      <c r="AH7" s="284">
        <f t="shared" si="0"/>
        <v>0</v>
      </c>
      <c r="AI7" s="284">
        <f t="shared" si="0"/>
        <v>0</v>
      </c>
      <c r="AJ7" s="284">
        <f t="shared" si="0"/>
        <v>0</v>
      </c>
      <c r="AK7" s="284">
        <f t="shared" si="0"/>
        <v>0</v>
      </c>
      <c r="AL7" s="284">
        <f t="shared" si="0"/>
        <v>0</v>
      </c>
      <c r="AM7" s="284">
        <f t="shared" si="0"/>
        <v>0</v>
      </c>
      <c r="AN7" s="284">
        <f t="shared" si="0"/>
        <v>0</v>
      </c>
      <c r="AO7" s="284">
        <f t="shared" si="0"/>
        <v>0</v>
      </c>
      <c r="AP7" s="284">
        <f t="shared" si="0"/>
        <v>0</v>
      </c>
      <c r="AQ7" s="284">
        <f t="shared" si="0"/>
        <v>0</v>
      </c>
      <c r="AR7" s="284">
        <f t="shared" si="0"/>
        <v>0</v>
      </c>
      <c r="AS7" s="284">
        <f t="shared" si="0"/>
        <v>0</v>
      </c>
      <c r="AT7" s="284">
        <f t="shared" si="0"/>
        <v>0</v>
      </c>
      <c r="AU7" s="284">
        <f t="shared" si="0"/>
        <v>0</v>
      </c>
      <c r="AV7" s="284">
        <f t="shared" si="0"/>
        <v>0</v>
      </c>
      <c r="AW7" s="284">
        <f t="shared" si="0"/>
        <v>0</v>
      </c>
      <c r="AX7" s="284">
        <f t="shared" si="0"/>
        <v>0</v>
      </c>
      <c r="AY7" s="284">
        <f t="shared" si="0"/>
        <v>0</v>
      </c>
      <c r="AZ7" s="284">
        <f t="shared" si="0"/>
        <v>0</v>
      </c>
      <c r="BA7" s="284">
        <f t="shared" si="0"/>
        <v>0</v>
      </c>
      <c r="BB7" s="284">
        <f t="shared" si="0"/>
        <v>0</v>
      </c>
      <c r="BC7" s="284">
        <f t="shared" si="0"/>
        <v>0</v>
      </c>
      <c r="BD7" s="284">
        <f>SUM(T7:BC7)</f>
        <v>0</v>
      </c>
      <c r="BE7" s="501">
        <f>AZ7/25</f>
        <v>0</v>
      </c>
      <c r="BF7" s="644"/>
      <c r="BG7" s="644"/>
      <c r="BH7" s="644"/>
      <c r="BI7" s="644"/>
      <c r="BJ7" s="644"/>
      <c r="BK7" s="644"/>
      <c r="BL7" s="644"/>
    </row>
    <row r="8" spans="1:64" ht="24.95" customHeight="1">
      <c r="A8" s="851"/>
      <c r="B8" s="847"/>
      <c r="C8" s="848"/>
      <c r="D8" s="890"/>
      <c r="E8" s="499"/>
      <c r="F8" s="836"/>
      <c r="G8" s="836"/>
      <c r="H8" s="836"/>
      <c r="I8" s="854"/>
      <c r="J8" s="496"/>
      <c r="K8" s="297" t="s">
        <v>362</v>
      </c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>
        <f>AL7</f>
        <v>0</v>
      </c>
      <c r="AM8" s="287">
        <f>AM7</f>
        <v>0</v>
      </c>
      <c r="AN8" s="287">
        <f>AN7</f>
        <v>0</v>
      </c>
      <c r="AO8" s="287">
        <f>AO7</f>
        <v>0</v>
      </c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650">
        <f>SUM(U8:BC8)</f>
        <v>0</v>
      </c>
      <c r="BE8" s="284"/>
      <c r="BF8" s="644"/>
      <c r="BG8" s="644"/>
      <c r="BH8" s="644"/>
      <c r="BI8" s="644"/>
      <c r="BJ8" s="644"/>
      <c r="BK8" s="644"/>
      <c r="BL8" s="644"/>
    </row>
    <row r="9" spans="1:64" ht="24.95" customHeight="1">
      <c r="A9" s="851"/>
      <c r="B9" s="847">
        <v>3</v>
      </c>
      <c r="C9" s="848"/>
      <c r="D9" s="890"/>
      <c r="E9" s="499"/>
      <c r="F9" s="836"/>
      <c r="G9" s="836"/>
      <c r="H9" s="836"/>
      <c r="I9" s="853"/>
      <c r="J9" s="498">
        <f>BD9</f>
        <v>0</v>
      </c>
      <c r="K9" s="351" t="s">
        <v>361</v>
      </c>
      <c r="L9" s="292"/>
      <c r="M9" s="292"/>
      <c r="N9" s="292"/>
      <c r="O9" s="292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84">
        <f>E9/48</f>
        <v>0</v>
      </c>
      <c r="AS9" s="284">
        <f>AR9</f>
        <v>0</v>
      </c>
      <c r="AT9" s="284">
        <f t="shared" ref="AT9:BC9" si="1">AS9</f>
        <v>0</v>
      </c>
      <c r="AU9" s="284">
        <f t="shared" si="1"/>
        <v>0</v>
      </c>
      <c r="AV9" s="284">
        <f t="shared" si="1"/>
        <v>0</v>
      </c>
      <c r="AW9" s="284">
        <f t="shared" si="1"/>
        <v>0</v>
      </c>
      <c r="AX9" s="284">
        <f t="shared" si="1"/>
        <v>0</v>
      </c>
      <c r="AY9" s="284">
        <f t="shared" si="1"/>
        <v>0</v>
      </c>
      <c r="AZ9" s="284">
        <f t="shared" si="1"/>
        <v>0</v>
      </c>
      <c r="BA9" s="284">
        <f t="shared" si="1"/>
        <v>0</v>
      </c>
      <c r="BB9" s="284">
        <f t="shared" si="1"/>
        <v>0</v>
      </c>
      <c r="BC9" s="284">
        <f t="shared" si="1"/>
        <v>0</v>
      </c>
      <c r="BD9" s="284">
        <f>SUM(AR9:BC9)</f>
        <v>0</v>
      </c>
      <c r="BE9" s="284">
        <f>AZ9/25</f>
        <v>0</v>
      </c>
      <c r="BF9" s="644"/>
      <c r="BG9" s="644"/>
      <c r="BH9" s="644"/>
      <c r="BI9" s="644"/>
      <c r="BJ9" s="644"/>
      <c r="BK9" s="651"/>
      <c r="BL9" s="651"/>
    </row>
    <row r="10" spans="1:64" ht="24.95" customHeight="1">
      <c r="A10" s="851"/>
      <c r="B10" s="847"/>
      <c r="C10" s="848"/>
      <c r="D10" s="890"/>
      <c r="E10" s="499"/>
      <c r="F10" s="836"/>
      <c r="G10" s="836"/>
      <c r="H10" s="836"/>
      <c r="I10" s="854"/>
      <c r="J10" s="496"/>
      <c r="K10" s="297" t="s">
        <v>362</v>
      </c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3"/>
      <c r="X10" s="293"/>
      <c r="Y10" s="293"/>
      <c r="Z10" s="293"/>
      <c r="AA10" s="293"/>
      <c r="AB10" s="293"/>
      <c r="AC10" s="293"/>
      <c r="AD10" s="293"/>
      <c r="AE10" s="293"/>
      <c r="AF10" s="438"/>
      <c r="AG10" s="438"/>
      <c r="AH10" s="438"/>
      <c r="AI10" s="438"/>
      <c r="AJ10" s="438"/>
      <c r="AK10" s="438"/>
      <c r="AL10" s="438"/>
      <c r="AM10" s="438"/>
      <c r="AN10" s="438"/>
      <c r="AO10" s="438"/>
      <c r="AP10" s="438"/>
      <c r="AQ10" s="438"/>
      <c r="AR10" s="438"/>
      <c r="AS10" s="438"/>
      <c r="AT10" s="438"/>
      <c r="AU10" s="438"/>
      <c r="AV10" s="438"/>
      <c r="AW10" s="438"/>
      <c r="AX10" s="438"/>
      <c r="AY10" s="438"/>
      <c r="AZ10" s="438"/>
      <c r="BA10" s="438"/>
      <c r="BB10" s="438"/>
      <c r="BC10" s="438"/>
      <c r="BD10" s="650">
        <f>SUM(U10:BC10)</f>
        <v>0</v>
      </c>
      <c r="BE10" s="284"/>
      <c r="BF10" s="644"/>
      <c r="BG10" s="644"/>
      <c r="BH10" s="644"/>
      <c r="BI10" s="644"/>
      <c r="BJ10" s="644"/>
      <c r="BK10" s="651"/>
      <c r="BL10" s="651"/>
    </row>
    <row r="11" spans="1:64" ht="24.95" customHeight="1">
      <c r="A11" s="851"/>
      <c r="B11" s="847">
        <v>4</v>
      </c>
      <c r="C11" s="848"/>
      <c r="D11" s="890"/>
      <c r="E11" s="497"/>
      <c r="F11" s="836"/>
      <c r="G11" s="836"/>
      <c r="H11" s="836"/>
      <c r="I11" s="853"/>
      <c r="J11" s="498">
        <f>BD11</f>
        <v>0</v>
      </c>
      <c r="K11" s="351" t="s">
        <v>361</v>
      </c>
      <c r="L11" s="292"/>
      <c r="M11" s="292"/>
      <c r="N11" s="292"/>
      <c r="O11" s="292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84">
        <f>E11/48</f>
        <v>0</v>
      </c>
      <c r="AS11" s="284">
        <f>AR11</f>
        <v>0</v>
      </c>
      <c r="AT11" s="284">
        <f t="shared" ref="AT11:BC11" si="2">AS11</f>
        <v>0</v>
      </c>
      <c r="AU11" s="284">
        <f t="shared" si="2"/>
        <v>0</v>
      </c>
      <c r="AV11" s="284">
        <f t="shared" si="2"/>
        <v>0</v>
      </c>
      <c r="AW11" s="284">
        <f t="shared" si="2"/>
        <v>0</v>
      </c>
      <c r="AX11" s="284">
        <f t="shared" si="2"/>
        <v>0</v>
      </c>
      <c r="AY11" s="284">
        <f t="shared" si="2"/>
        <v>0</v>
      </c>
      <c r="AZ11" s="284">
        <f t="shared" si="2"/>
        <v>0</v>
      </c>
      <c r="BA11" s="284">
        <f t="shared" si="2"/>
        <v>0</v>
      </c>
      <c r="BB11" s="284">
        <f t="shared" si="2"/>
        <v>0</v>
      </c>
      <c r="BC11" s="284">
        <f t="shared" si="2"/>
        <v>0</v>
      </c>
      <c r="BD11" s="284">
        <f>SUM(AR11:BC11)</f>
        <v>0</v>
      </c>
      <c r="BE11" s="284">
        <f>AZ11/25</f>
        <v>0</v>
      </c>
      <c r="BF11" s="644"/>
      <c r="BG11" s="644"/>
      <c r="BH11" s="644"/>
      <c r="BI11" s="644"/>
      <c r="BJ11" s="644"/>
      <c r="BK11" s="644"/>
      <c r="BL11" s="644"/>
    </row>
    <row r="12" spans="1:64" ht="24.95" customHeight="1">
      <c r="A12" s="851"/>
      <c r="B12" s="847"/>
      <c r="C12" s="848"/>
      <c r="D12" s="890"/>
      <c r="E12" s="497"/>
      <c r="F12" s="836"/>
      <c r="G12" s="836"/>
      <c r="H12" s="836"/>
      <c r="I12" s="854"/>
      <c r="J12" s="496"/>
      <c r="K12" s="297" t="s">
        <v>362</v>
      </c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84"/>
      <c r="X12" s="293"/>
      <c r="Y12" s="293"/>
      <c r="Z12" s="293"/>
      <c r="AA12" s="293"/>
      <c r="AB12" s="284"/>
      <c r="AC12" s="284"/>
      <c r="AD12" s="284"/>
      <c r="AE12" s="284"/>
      <c r="AF12" s="293"/>
      <c r="AG12" s="293"/>
      <c r="AH12" s="293"/>
      <c r="AI12" s="293"/>
      <c r="AJ12" s="293"/>
      <c r="AK12" s="293"/>
      <c r="AL12" s="293"/>
      <c r="AM12" s="293"/>
      <c r="AN12" s="293"/>
      <c r="AO12" s="293"/>
      <c r="AP12" s="293"/>
      <c r="AQ12" s="293"/>
      <c r="AR12" s="293"/>
      <c r="AS12" s="293"/>
      <c r="AT12" s="293"/>
      <c r="AU12" s="293"/>
      <c r="AV12" s="293"/>
      <c r="AW12" s="293"/>
      <c r="AX12" s="293"/>
      <c r="AY12" s="293"/>
      <c r="AZ12" s="293"/>
      <c r="BA12" s="293"/>
      <c r="BB12" s="293"/>
      <c r="BC12" s="293"/>
      <c r="BD12" s="650">
        <f>SUM(U12:BC12)</f>
        <v>0</v>
      </c>
      <c r="BE12" s="284"/>
      <c r="BF12" s="644"/>
      <c r="BG12" s="652"/>
      <c r="BH12" s="644"/>
      <c r="BI12" s="644"/>
      <c r="BJ12" s="644"/>
      <c r="BK12" s="644"/>
      <c r="BL12" s="644"/>
    </row>
    <row r="13" spans="1:64" ht="24.95" customHeight="1">
      <c r="A13" s="851"/>
      <c r="B13" s="847">
        <v>5</v>
      </c>
      <c r="C13" s="848"/>
      <c r="D13" s="890"/>
      <c r="E13" s="497"/>
      <c r="F13" s="836"/>
      <c r="G13" s="836"/>
      <c r="H13" s="836"/>
      <c r="I13" s="853"/>
      <c r="J13" s="498">
        <f>BD13</f>
        <v>0</v>
      </c>
      <c r="K13" s="351" t="s">
        <v>361</v>
      </c>
      <c r="L13" s="292"/>
      <c r="M13" s="292"/>
      <c r="N13" s="292"/>
      <c r="O13" s="292"/>
      <c r="P13" s="292"/>
      <c r="Q13" s="284">
        <f>E13/48</f>
        <v>0</v>
      </c>
      <c r="R13" s="284">
        <f t="shared" ref="R13:BC14" si="3">Q13</f>
        <v>0</v>
      </c>
      <c r="S13" s="284">
        <f t="shared" si="3"/>
        <v>0</v>
      </c>
      <c r="T13" s="284">
        <f t="shared" si="3"/>
        <v>0</v>
      </c>
      <c r="U13" s="284">
        <f t="shared" si="3"/>
        <v>0</v>
      </c>
      <c r="V13" s="284">
        <f t="shared" si="3"/>
        <v>0</v>
      </c>
      <c r="W13" s="284">
        <f t="shared" si="3"/>
        <v>0</v>
      </c>
      <c r="X13" s="284">
        <f t="shared" si="3"/>
        <v>0</v>
      </c>
      <c r="Y13" s="284">
        <f t="shared" si="3"/>
        <v>0</v>
      </c>
      <c r="Z13" s="284">
        <f t="shared" si="3"/>
        <v>0</v>
      </c>
      <c r="AA13" s="284">
        <f t="shared" si="3"/>
        <v>0</v>
      </c>
      <c r="AB13" s="284">
        <f>AA13</f>
        <v>0</v>
      </c>
      <c r="AC13" s="284">
        <f t="shared" si="3"/>
        <v>0</v>
      </c>
      <c r="AD13" s="284">
        <f t="shared" si="3"/>
        <v>0</v>
      </c>
      <c r="AE13" s="284">
        <f t="shared" si="3"/>
        <v>0</v>
      </c>
      <c r="AF13" s="284">
        <f t="shared" si="3"/>
        <v>0</v>
      </c>
      <c r="AG13" s="284">
        <f t="shared" si="3"/>
        <v>0</v>
      </c>
      <c r="AH13" s="284">
        <f t="shared" si="3"/>
        <v>0</v>
      </c>
      <c r="AI13" s="284">
        <f t="shared" si="3"/>
        <v>0</v>
      </c>
      <c r="AJ13" s="284">
        <f t="shared" si="3"/>
        <v>0</v>
      </c>
      <c r="AK13" s="284">
        <f t="shared" si="3"/>
        <v>0</v>
      </c>
      <c r="AL13" s="284">
        <f t="shared" si="3"/>
        <v>0</v>
      </c>
      <c r="AM13" s="284">
        <f t="shared" si="3"/>
        <v>0</v>
      </c>
      <c r="AN13" s="284">
        <f t="shared" si="3"/>
        <v>0</v>
      </c>
      <c r="AO13" s="284">
        <f t="shared" si="3"/>
        <v>0</v>
      </c>
      <c r="AP13" s="284">
        <f t="shared" si="3"/>
        <v>0</v>
      </c>
      <c r="AQ13" s="284">
        <f t="shared" si="3"/>
        <v>0</v>
      </c>
      <c r="AR13" s="284">
        <f>E13/48</f>
        <v>0</v>
      </c>
      <c r="AS13" s="284">
        <f t="shared" si="3"/>
        <v>0</v>
      </c>
      <c r="AT13" s="284">
        <f t="shared" si="3"/>
        <v>0</v>
      </c>
      <c r="AU13" s="284">
        <f t="shared" si="3"/>
        <v>0</v>
      </c>
      <c r="AV13" s="284">
        <f t="shared" si="3"/>
        <v>0</v>
      </c>
      <c r="AW13" s="284">
        <f t="shared" si="3"/>
        <v>0</v>
      </c>
      <c r="AX13" s="284">
        <f t="shared" si="3"/>
        <v>0</v>
      </c>
      <c r="AY13" s="284">
        <f t="shared" si="3"/>
        <v>0</v>
      </c>
      <c r="AZ13" s="284">
        <f t="shared" si="3"/>
        <v>0</v>
      </c>
      <c r="BA13" s="284">
        <f t="shared" si="3"/>
        <v>0</v>
      </c>
      <c r="BB13" s="284">
        <f t="shared" si="3"/>
        <v>0</v>
      </c>
      <c r="BC13" s="284">
        <f t="shared" si="3"/>
        <v>0</v>
      </c>
      <c r="BD13" s="284">
        <f>SUM(Q13:BC13)</f>
        <v>0</v>
      </c>
      <c r="BE13" s="284">
        <f>AZ13/25</f>
        <v>0</v>
      </c>
      <c r="BF13" s="653"/>
      <c r="BG13" s="652"/>
      <c r="BH13" s="644"/>
      <c r="BI13" s="644"/>
      <c r="BJ13" s="644"/>
      <c r="BK13" s="644"/>
      <c r="BL13" s="644"/>
    </row>
    <row r="14" spans="1:64" ht="24.95" customHeight="1">
      <c r="A14" s="851"/>
      <c r="B14" s="847"/>
      <c r="C14" s="848"/>
      <c r="D14" s="890"/>
      <c r="E14" s="497"/>
      <c r="F14" s="836"/>
      <c r="G14" s="836"/>
      <c r="H14" s="836"/>
      <c r="I14" s="854"/>
      <c r="J14" s="496"/>
      <c r="K14" s="297" t="s">
        <v>362</v>
      </c>
      <c r="L14" s="292"/>
      <c r="M14" s="292"/>
      <c r="N14" s="292"/>
      <c r="O14" s="292"/>
      <c r="P14" s="292"/>
      <c r="Q14" s="438">
        <f>Q13*3/6</f>
        <v>0</v>
      </c>
      <c r="R14" s="438">
        <f>R13</f>
        <v>0</v>
      </c>
      <c r="S14" s="438">
        <f>R14</f>
        <v>0</v>
      </c>
      <c r="T14" s="438">
        <f>R14</f>
        <v>0</v>
      </c>
      <c r="U14" s="438">
        <f>T14</f>
        <v>0</v>
      </c>
      <c r="V14" s="438">
        <f>U14</f>
        <v>0</v>
      </c>
      <c r="W14" s="438">
        <f>V14</f>
        <v>0</v>
      </c>
      <c r="X14" s="438">
        <f>W14</f>
        <v>0</v>
      </c>
      <c r="Y14" s="438">
        <f t="shared" si="3"/>
        <v>0</v>
      </c>
      <c r="Z14" s="438">
        <f t="shared" si="3"/>
        <v>0</v>
      </c>
      <c r="AA14" s="438">
        <f t="shared" si="3"/>
        <v>0</v>
      </c>
      <c r="AB14" s="438">
        <f>AA14</f>
        <v>0</v>
      </c>
      <c r="AC14" s="438">
        <f t="shared" si="3"/>
        <v>0</v>
      </c>
      <c r="AD14" s="438">
        <f t="shared" si="3"/>
        <v>0</v>
      </c>
      <c r="AE14" s="438">
        <f t="shared" si="3"/>
        <v>0</v>
      </c>
      <c r="AF14" s="438">
        <f t="shared" ref="AF14:AO14" si="4">AE14</f>
        <v>0</v>
      </c>
      <c r="AG14" s="438">
        <f t="shared" si="4"/>
        <v>0</v>
      </c>
      <c r="AH14" s="438">
        <f t="shared" si="4"/>
        <v>0</v>
      </c>
      <c r="AI14" s="438">
        <f t="shared" si="4"/>
        <v>0</v>
      </c>
      <c r="AJ14" s="438">
        <f t="shared" si="4"/>
        <v>0</v>
      </c>
      <c r="AK14" s="438">
        <f t="shared" si="4"/>
        <v>0</v>
      </c>
      <c r="AL14" s="438">
        <f t="shared" si="4"/>
        <v>0</v>
      </c>
      <c r="AM14" s="438">
        <f t="shared" si="4"/>
        <v>0</v>
      </c>
      <c r="AN14" s="438">
        <f t="shared" si="4"/>
        <v>0</v>
      </c>
      <c r="AO14" s="438">
        <f t="shared" si="4"/>
        <v>0</v>
      </c>
      <c r="AP14" s="438"/>
      <c r="AQ14" s="438"/>
      <c r="AR14" s="438"/>
      <c r="AS14" s="438"/>
      <c r="AT14" s="438"/>
      <c r="AU14" s="438"/>
      <c r="AV14" s="438"/>
      <c r="AW14" s="438"/>
      <c r="AX14" s="438"/>
      <c r="AY14" s="438"/>
      <c r="AZ14" s="438"/>
      <c r="BA14" s="438"/>
      <c r="BB14" s="438"/>
      <c r="BC14" s="438"/>
      <c r="BD14" s="654">
        <f>SUM(Q14:BC14)</f>
        <v>0</v>
      </c>
      <c r="BE14" s="284"/>
      <c r="BF14" s="644"/>
      <c r="BG14" s="644"/>
      <c r="BH14" s="644"/>
      <c r="BI14" s="644"/>
      <c r="BJ14" s="644"/>
      <c r="BK14" s="644"/>
      <c r="BL14" s="644"/>
    </row>
    <row r="15" spans="1:64" ht="24.95" customHeight="1">
      <c r="A15" s="851"/>
      <c r="B15" s="847">
        <v>6</v>
      </c>
      <c r="C15" s="848"/>
      <c r="D15" s="890"/>
      <c r="E15" s="499"/>
      <c r="F15" s="836"/>
      <c r="G15" s="836"/>
      <c r="H15" s="836"/>
      <c r="I15" s="853"/>
      <c r="J15" s="498">
        <f>BD15</f>
        <v>0</v>
      </c>
      <c r="K15" s="351" t="s">
        <v>361</v>
      </c>
      <c r="L15" s="292"/>
      <c r="M15" s="292"/>
      <c r="N15" s="292"/>
      <c r="O15" s="292"/>
      <c r="P15" s="292"/>
      <c r="Q15" s="292"/>
      <c r="R15" s="292"/>
      <c r="S15" s="292"/>
      <c r="T15" s="284">
        <f>E15/48</f>
        <v>0</v>
      </c>
      <c r="U15" s="284">
        <f t="shared" ref="U15:BC15" si="5">T15</f>
        <v>0</v>
      </c>
      <c r="V15" s="284">
        <f t="shared" si="5"/>
        <v>0</v>
      </c>
      <c r="W15" s="284">
        <f t="shared" si="5"/>
        <v>0</v>
      </c>
      <c r="X15" s="284">
        <f t="shared" si="5"/>
        <v>0</v>
      </c>
      <c r="Y15" s="284">
        <f t="shared" si="5"/>
        <v>0</v>
      </c>
      <c r="Z15" s="284">
        <f t="shared" si="5"/>
        <v>0</v>
      </c>
      <c r="AA15" s="284">
        <f t="shared" si="5"/>
        <v>0</v>
      </c>
      <c r="AB15" s="284">
        <f t="shared" si="5"/>
        <v>0</v>
      </c>
      <c r="AC15" s="284">
        <f t="shared" si="5"/>
        <v>0</v>
      </c>
      <c r="AD15" s="284">
        <f t="shared" si="5"/>
        <v>0</v>
      </c>
      <c r="AE15" s="284">
        <f t="shared" si="5"/>
        <v>0</v>
      </c>
      <c r="AF15" s="284">
        <f t="shared" si="5"/>
        <v>0</v>
      </c>
      <c r="AG15" s="284">
        <f t="shared" si="5"/>
        <v>0</v>
      </c>
      <c r="AH15" s="284">
        <f t="shared" si="5"/>
        <v>0</v>
      </c>
      <c r="AI15" s="284">
        <f t="shared" si="5"/>
        <v>0</v>
      </c>
      <c r="AJ15" s="284">
        <f t="shared" si="5"/>
        <v>0</v>
      </c>
      <c r="AK15" s="284">
        <f t="shared" si="5"/>
        <v>0</v>
      </c>
      <c r="AL15" s="284">
        <f t="shared" si="5"/>
        <v>0</v>
      </c>
      <c r="AM15" s="284">
        <f t="shared" si="5"/>
        <v>0</v>
      </c>
      <c r="AN15" s="284">
        <f t="shared" si="5"/>
        <v>0</v>
      </c>
      <c r="AO15" s="284">
        <f t="shared" si="5"/>
        <v>0</v>
      </c>
      <c r="AP15" s="284">
        <f t="shared" si="5"/>
        <v>0</v>
      </c>
      <c r="AQ15" s="284">
        <f t="shared" si="5"/>
        <v>0</v>
      </c>
      <c r="AR15" s="284">
        <f t="shared" si="5"/>
        <v>0</v>
      </c>
      <c r="AS15" s="284">
        <f t="shared" si="5"/>
        <v>0</v>
      </c>
      <c r="AT15" s="284">
        <f t="shared" si="5"/>
        <v>0</v>
      </c>
      <c r="AU15" s="284">
        <f t="shared" si="5"/>
        <v>0</v>
      </c>
      <c r="AV15" s="284">
        <f t="shared" si="5"/>
        <v>0</v>
      </c>
      <c r="AW15" s="284">
        <f t="shared" si="5"/>
        <v>0</v>
      </c>
      <c r="AX15" s="284">
        <f t="shared" si="5"/>
        <v>0</v>
      </c>
      <c r="AY15" s="284">
        <f t="shared" si="5"/>
        <v>0</v>
      </c>
      <c r="AZ15" s="284">
        <f t="shared" si="5"/>
        <v>0</v>
      </c>
      <c r="BA15" s="284">
        <f t="shared" si="5"/>
        <v>0</v>
      </c>
      <c r="BB15" s="284">
        <f t="shared" si="5"/>
        <v>0</v>
      </c>
      <c r="BC15" s="284">
        <f t="shared" si="5"/>
        <v>0</v>
      </c>
      <c r="BD15" s="284">
        <f>SUM(T15:BC15)</f>
        <v>0</v>
      </c>
      <c r="BE15" s="284">
        <f>AZ15/25</f>
        <v>0</v>
      </c>
      <c r="BF15" s="653"/>
      <c r="BG15" s="652"/>
      <c r="BH15" s="653"/>
      <c r="BI15" s="652"/>
      <c r="BJ15" s="644"/>
      <c r="BK15" s="644"/>
      <c r="BL15" s="644"/>
    </row>
    <row r="16" spans="1:64" ht="24.95" customHeight="1">
      <c r="A16" s="851"/>
      <c r="B16" s="847"/>
      <c r="C16" s="848"/>
      <c r="D16" s="890"/>
      <c r="E16" s="499"/>
      <c r="F16" s="836"/>
      <c r="G16" s="836"/>
      <c r="H16" s="836"/>
      <c r="I16" s="854"/>
      <c r="J16" s="496"/>
      <c r="K16" s="297" t="s">
        <v>362</v>
      </c>
      <c r="L16" s="439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  <c r="Y16" s="439"/>
      <c r="Z16" s="439"/>
      <c r="AA16" s="439"/>
      <c r="AB16" s="439"/>
      <c r="AC16" s="439"/>
      <c r="AD16" s="439"/>
      <c r="AE16" s="284">
        <f>AE15</f>
        <v>0</v>
      </c>
      <c r="AF16" s="284">
        <f>AE16</f>
        <v>0</v>
      </c>
      <c r="AG16" s="284">
        <f>AF16</f>
        <v>0</v>
      </c>
      <c r="AH16" s="351"/>
      <c r="AI16" s="351"/>
      <c r="AJ16" s="351"/>
      <c r="AK16" s="351"/>
      <c r="AL16" s="351"/>
      <c r="AM16" s="351"/>
      <c r="AN16" s="351"/>
      <c r="AO16" s="351"/>
      <c r="AP16" s="351"/>
      <c r="AQ16" s="351"/>
      <c r="AR16" s="351"/>
      <c r="AS16" s="351"/>
      <c r="AT16" s="351"/>
      <c r="AU16" s="351"/>
      <c r="AV16" s="351"/>
      <c r="AW16" s="351"/>
      <c r="AX16" s="351"/>
      <c r="AY16" s="351"/>
      <c r="AZ16" s="351"/>
      <c r="BA16" s="351"/>
      <c r="BB16" s="351"/>
      <c r="BC16" s="351"/>
      <c r="BD16" s="650">
        <f>SUM(U16:BC16)</f>
        <v>0</v>
      </c>
      <c r="BE16" s="284"/>
      <c r="BF16" s="644"/>
      <c r="BG16" s="644"/>
      <c r="BH16" s="644"/>
      <c r="BI16" s="644"/>
      <c r="BJ16" s="644"/>
      <c r="BK16" s="644"/>
      <c r="BL16" s="644"/>
    </row>
    <row r="17" spans="1:64" ht="24.95" customHeight="1">
      <c r="A17" s="851"/>
      <c r="B17" s="847">
        <v>7</v>
      </c>
      <c r="C17" s="887"/>
      <c r="D17" s="835"/>
      <c r="E17" s="499"/>
      <c r="F17" s="836"/>
      <c r="G17" s="836"/>
      <c r="H17" s="836"/>
      <c r="I17" s="853"/>
      <c r="J17" s="498">
        <f>BD17</f>
        <v>0</v>
      </c>
      <c r="K17" s="351" t="s">
        <v>361</v>
      </c>
      <c r="L17" s="292"/>
      <c r="M17" s="292"/>
      <c r="N17" s="292"/>
      <c r="O17" s="292"/>
      <c r="P17" s="292"/>
      <c r="Q17" s="292"/>
      <c r="R17" s="292"/>
      <c r="S17" s="292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>
        <f>SUM(T17:BC17)</f>
        <v>0</v>
      </c>
      <c r="BE17" s="284">
        <f>AZ17/25</f>
        <v>0</v>
      </c>
      <c r="BF17" s="653"/>
      <c r="BG17" s="644"/>
      <c r="BH17" s="644"/>
      <c r="BI17" s="652"/>
      <c r="BJ17" s="644"/>
      <c r="BK17" s="644"/>
      <c r="BL17" s="644"/>
    </row>
    <row r="18" spans="1:64" ht="34.5" customHeight="1">
      <c r="A18" s="851"/>
      <c r="B18" s="847"/>
      <c r="C18" s="887"/>
      <c r="D18" s="835"/>
      <c r="E18" s="499"/>
      <c r="F18" s="836"/>
      <c r="G18" s="836"/>
      <c r="H18" s="836"/>
      <c r="I18" s="854"/>
      <c r="J18" s="496"/>
      <c r="K18" s="297" t="s">
        <v>362</v>
      </c>
      <c r="L18" s="292"/>
      <c r="M18" s="292"/>
      <c r="N18" s="292"/>
      <c r="O18" s="292"/>
      <c r="P18" s="292"/>
      <c r="Q18" s="292"/>
      <c r="R18" s="292"/>
      <c r="S18" s="292"/>
      <c r="T18" s="438"/>
      <c r="U18" s="438"/>
      <c r="V18" s="438"/>
      <c r="W18" s="438"/>
      <c r="X18" s="438"/>
      <c r="Y18" s="438"/>
      <c r="Z18" s="438"/>
      <c r="AA18" s="438"/>
      <c r="AB18" s="438"/>
      <c r="AC18" s="438"/>
      <c r="AD18" s="438"/>
      <c r="AE18" s="438"/>
      <c r="AF18" s="438"/>
      <c r="AG18" s="438"/>
      <c r="AH18" s="438"/>
      <c r="AI18" s="438"/>
      <c r="AJ18" s="438"/>
      <c r="AK18" s="438"/>
      <c r="AL18" s="438"/>
      <c r="AM18" s="438"/>
      <c r="AN18" s="438"/>
      <c r="AO18" s="438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3">
        <f>SUM(T18:BC18)</f>
        <v>0</v>
      </c>
      <c r="BE18" s="284"/>
      <c r="BF18" s="644"/>
      <c r="BG18" s="644"/>
      <c r="BH18" s="644"/>
      <c r="BI18" s="652"/>
      <c r="BJ18" s="644"/>
      <c r="BK18" s="644"/>
      <c r="BL18" s="644"/>
    </row>
    <row r="19" spans="1:64" ht="24.95" customHeight="1">
      <c r="A19" s="851"/>
      <c r="B19" s="847">
        <v>8</v>
      </c>
      <c r="C19" s="888"/>
      <c r="D19" s="889"/>
      <c r="E19" s="499"/>
      <c r="F19" s="836"/>
      <c r="G19" s="836"/>
      <c r="H19" s="836"/>
      <c r="I19" s="853"/>
      <c r="J19" s="498">
        <f>BD19</f>
        <v>0</v>
      </c>
      <c r="K19" s="351" t="s">
        <v>361</v>
      </c>
      <c r="L19" s="292"/>
      <c r="M19" s="292"/>
      <c r="N19" s="292"/>
      <c r="O19" s="284">
        <f>E19/48</f>
        <v>0</v>
      </c>
      <c r="P19" s="284">
        <f>O19</f>
        <v>0</v>
      </c>
      <c r="Q19" s="284">
        <f t="shared" ref="Q19:BC20" si="6">P19</f>
        <v>0</v>
      </c>
      <c r="R19" s="284">
        <f t="shared" si="6"/>
        <v>0</v>
      </c>
      <c r="S19" s="284">
        <f t="shared" si="6"/>
        <v>0</v>
      </c>
      <c r="T19" s="284">
        <f t="shared" si="6"/>
        <v>0</v>
      </c>
      <c r="U19" s="284">
        <f t="shared" si="6"/>
        <v>0</v>
      </c>
      <c r="V19" s="284">
        <f t="shared" si="6"/>
        <v>0</v>
      </c>
      <c r="W19" s="284">
        <f t="shared" si="6"/>
        <v>0</v>
      </c>
      <c r="X19" s="284">
        <f t="shared" si="6"/>
        <v>0</v>
      </c>
      <c r="Y19" s="284">
        <f t="shared" si="6"/>
        <v>0</v>
      </c>
      <c r="Z19" s="284">
        <f t="shared" si="6"/>
        <v>0</v>
      </c>
      <c r="AA19" s="284">
        <f t="shared" si="6"/>
        <v>0</v>
      </c>
      <c r="AB19" s="284">
        <f t="shared" si="6"/>
        <v>0</v>
      </c>
      <c r="AC19" s="284">
        <f t="shared" si="6"/>
        <v>0</v>
      </c>
      <c r="AD19" s="284">
        <f t="shared" si="6"/>
        <v>0</v>
      </c>
      <c r="AE19" s="284">
        <f t="shared" si="6"/>
        <v>0</v>
      </c>
      <c r="AF19" s="284">
        <f t="shared" si="6"/>
        <v>0</v>
      </c>
      <c r="AG19" s="284">
        <f t="shared" si="6"/>
        <v>0</v>
      </c>
      <c r="AH19" s="284">
        <f t="shared" si="6"/>
        <v>0</v>
      </c>
      <c r="AI19" s="284">
        <f t="shared" si="6"/>
        <v>0</v>
      </c>
      <c r="AJ19" s="284">
        <f t="shared" si="6"/>
        <v>0</v>
      </c>
      <c r="AK19" s="284">
        <f t="shared" si="6"/>
        <v>0</v>
      </c>
      <c r="AL19" s="284">
        <f t="shared" si="6"/>
        <v>0</v>
      </c>
      <c r="AM19" s="284">
        <f t="shared" si="6"/>
        <v>0</v>
      </c>
      <c r="AN19" s="284">
        <f t="shared" si="6"/>
        <v>0</v>
      </c>
      <c r="AO19" s="284">
        <f t="shared" si="6"/>
        <v>0</v>
      </c>
      <c r="AP19" s="284">
        <f t="shared" si="6"/>
        <v>0</v>
      </c>
      <c r="AQ19" s="284">
        <f t="shared" si="6"/>
        <v>0</v>
      </c>
      <c r="AR19" s="284">
        <f t="shared" si="6"/>
        <v>0</v>
      </c>
      <c r="AS19" s="284">
        <f t="shared" si="6"/>
        <v>0</v>
      </c>
      <c r="AT19" s="284">
        <f t="shared" si="6"/>
        <v>0</v>
      </c>
      <c r="AU19" s="284">
        <f t="shared" si="6"/>
        <v>0</v>
      </c>
      <c r="AV19" s="284">
        <f t="shared" si="6"/>
        <v>0</v>
      </c>
      <c r="AW19" s="284">
        <f t="shared" si="6"/>
        <v>0</v>
      </c>
      <c r="AX19" s="284">
        <f t="shared" si="6"/>
        <v>0</v>
      </c>
      <c r="AY19" s="284">
        <f t="shared" si="6"/>
        <v>0</v>
      </c>
      <c r="AZ19" s="284">
        <f t="shared" si="6"/>
        <v>0</v>
      </c>
      <c r="BA19" s="284">
        <f t="shared" si="6"/>
        <v>0</v>
      </c>
      <c r="BB19" s="284">
        <f t="shared" si="6"/>
        <v>0</v>
      </c>
      <c r="BC19" s="284">
        <f t="shared" si="6"/>
        <v>0</v>
      </c>
      <c r="BD19" s="564">
        <f>SUM(O19:BC19)</f>
        <v>0</v>
      </c>
      <c r="BE19" s="284">
        <f>AZ19/25</f>
        <v>0</v>
      </c>
      <c r="BF19" s="644"/>
      <c r="BG19" s="644"/>
      <c r="BH19" s="644"/>
      <c r="BI19" s="644"/>
      <c r="BJ19" s="644"/>
      <c r="BK19" s="644"/>
      <c r="BL19" s="644"/>
    </row>
    <row r="20" spans="1:64" ht="24.95" customHeight="1">
      <c r="A20" s="851"/>
      <c r="B20" s="847"/>
      <c r="C20" s="888"/>
      <c r="D20" s="889"/>
      <c r="E20" s="499"/>
      <c r="F20" s="836"/>
      <c r="G20" s="836"/>
      <c r="H20" s="836"/>
      <c r="I20" s="854"/>
      <c r="J20" s="496"/>
      <c r="K20" s="297" t="s">
        <v>362</v>
      </c>
      <c r="L20" s="292"/>
      <c r="M20" s="292"/>
      <c r="N20" s="292"/>
      <c r="O20" s="293">
        <f>O19</f>
        <v>0</v>
      </c>
      <c r="P20" s="293">
        <f>O20</f>
        <v>0</v>
      </c>
      <c r="Q20" s="293">
        <f>P20</f>
        <v>0</v>
      </c>
      <c r="R20" s="293">
        <f>Q20</f>
        <v>0</v>
      </c>
      <c r="S20" s="293">
        <v>0</v>
      </c>
      <c r="T20" s="293">
        <f>R20</f>
        <v>0</v>
      </c>
      <c r="U20" s="293">
        <f>T20</f>
        <v>0</v>
      </c>
      <c r="V20" s="293">
        <f>U20</f>
        <v>0</v>
      </c>
      <c r="W20" s="293">
        <f>V20</f>
        <v>0</v>
      </c>
      <c r="X20" s="293">
        <f>W20</f>
        <v>0</v>
      </c>
      <c r="Y20" s="293">
        <f t="shared" si="6"/>
        <v>0</v>
      </c>
      <c r="Z20" s="293">
        <f t="shared" si="6"/>
        <v>0</v>
      </c>
      <c r="AA20" s="293">
        <f t="shared" si="6"/>
        <v>0</v>
      </c>
      <c r="AB20" s="293">
        <f t="shared" si="6"/>
        <v>0</v>
      </c>
      <c r="AC20" s="293">
        <f t="shared" si="6"/>
        <v>0</v>
      </c>
      <c r="AD20" s="293">
        <f t="shared" si="6"/>
        <v>0</v>
      </c>
      <c r="AE20" s="293">
        <f t="shared" si="6"/>
        <v>0</v>
      </c>
      <c r="AF20" s="293">
        <f t="shared" ref="AF20:AO20" si="7">AE20</f>
        <v>0</v>
      </c>
      <c r="AG20" s="293">
        <f t="shared" si="7"/>
        <v>0</v>
      </c>
      <c r="AH20" s="293">
        <f t="shared" si="7"/>
        <v>0</v>
      </c>
      <c r="AI20" s="293">
        <f t="shared" si="7"/>
        <v>0</v>
      </c>
      <c r="AJ20" s="293">
        <f t="shared" si="7"/>
        <v>0</v>
      </c>
      <c r="AK20" s="293">
        <f t="shared" si="7"/>
        <v>0</v>
      </c>
      <c r="AL20" s="293">
        <f t="shared" si="7"/>
        <v>0</v>
      </c>
      <c r="AM20" s="293">
        <f t="shared" si="7"/>
        <v>0</v>
      </c>
      <c r="AN20" s="293">
        <f t="shared" si="7"/>
        <v>0</v>
      </c>
      <c r="AO20" s="293">
        <f t="shared" si="7"/>
        <v>0</v>
      </c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654">
        <f>SUM(O20:BC20)</f>
        <v>0</v>
      </c>
      <c r="BE20" s="284"/>
      <c r="BF20" s="644"/>
      <c r="BG20" s="644"/>
      <c r="BH20" s="644"/>
      <c r="BI20" s="644"/>
      <c r="BJ20" s="644"/>
      <c r="BK20" s="644"/>
      <c r="BL20" s="644"/>
    </row>
    <row r="21" spans="1:64" ht="24.95" customHeight="1">
      <c r="A21" s="851"/>
      <c r="B21" s="847">
        <v>9</v>
      </c>
      <c r="C21" s="888"/>
      <c r="D21" s="889"/>
      <c r="E21" s="499"/>
      <c r="F21" s="836"/>
      <c r="G21" s="836"/>
      <c r="H21" s="836"/>
      <c r="I21" s="853"/>
      <c r="J21" s="498">
        <f>BD21</f>
        <v>0</v>
      </c>
      <c r="K21" s="351" t="s">
        <v>361</v>
      </c>
      <c r="L21" s="292"/>
      <c r="M21" s="292"/>
      <c r="N21" s="292"/>
      <c r="O21" s="284">
        <f>E21/48</f>
        <v>0</v>
      </c>
      <c r="P21" s="284">
        <f>O21</f>
        <v>0</v>
      </c>
      <c r="Q21" s="284">
        <f t="shared" ref="Q21:BC22" si="8">P21</f>
        <v>0</v>
      </c>
      <c r="R21" s="284">
        <f t="shared" si="8"/>
        <v>0</v>
      </c>
      <c r="S21" s="284">
        <f t="shared" si="8"/>
        <v>0</v>
      </c>
      <c r="T21" s="284">
        <f t="shared" si="8"/>
        <v>0</v>
      </c>
      <c r="U21" s="284">
        <f t="shared" si="8"/>
        <v>0</v>
      </c>
      <c r="V21" s="284">
        <f t="shared" si="8"/>
        <v>0</v>
      </c>
      <c r="W21" s="284">
        <f t="shared" si="8"/>
        <v>0</v>
      </c>
      <c r="X21" s="284">
        <f t="shared" si="8"/>
        <v>0</v>
      </c>
      <c r="Y21" s="284">
        <f t="shared" si="8"/>
        <v>0</v>
      </c>
      <c r="Z21" s="284">
        <f t="shared" si="8"/>
        <v>0</v>
      </c>
      <c r="AA21" s="284">
        <f t="shared" si="8"/>
        <v>0</v>
      </c>
      <c r="AB21" s="284">
        <f t="shared" si="8"/>
        <v>0</v>
      </c>
      <c r="AC21" s="284">
        <f t="shared" si="8"/>
        <v>0</v>
      </c>
      <c r="AD21" s="284">
        <f t="shared" si="8"/>
        <v>0</v>
      </c>
      <c r="AE21" s="284">
        <f t="shared" si="8"/>
        <v>0</v>
      </c>
      <c r="AF21" s="284">
        <f t="shared" si="8"/>
        <v>0</v>
      </c>
      <c r="AG21" s="284">
        <f t="shared" si="8"/>
        <v>0</v>
      </c>
      <c r="AH21" s="284">
        <f t="shared" si="8"/>
        <v>0</v>
      </c>
      <c r="AI21" s="284">
        <f t="shared" si="8"/>
        <v>0</v>
      </c>
      <c r="AJ21" s="284">
        <f t="shared" si="8"/>
        <v>0</v>
      </c>
      <c r="AK21" s="284">
        <f t="shared" si="8"/>
        <v>0</v>
      </c>
      <c r="AL21" s="284">
        <f t="shared" si="8"/>
        <v>0</v>
      </c>
      <c r="AM21" s="284">
        <f t="shared" si="8"/>
        <v>0</v>
      </c>
      <c r="AN21" s="284">
        <f t="shared" si="8"/>
        <v>0</v>
      </c>
      <c r="AO21" s="284">
        <f t="shared" si="8"/>
        <v>0</v>
      </c>
      <c r="AP21" s="284">
        <f t="shared" si="8"/>
        <v>0</v>
      </c>
      <c r="AQ21" s="284">
        <f t="shared" si="8"/>
        <v>0</v>
      </c>
      <c r="AR21" s="284">
        <f t="shared" si="8"/>
        <v>0</v>
      </c>
      <c r="AS21" s="284">
        <f t="shared" si="8"/>
        <v>0</v>
      </c>
      <c r="AT21" s="284">
        <f t="shared" si="8"/>
        <v>0</v>
      </c>
      <c r="AU21" s="284">
        <f t="shared" si="8"/>
        <v>0</v>
      </c>
      <c r="AV21" s="284">
        <f t="shared" si="8"/>
        <v>0</v>
      </c>
      <c r="AW21" s="284">
        <f t="shared" si="8"/>
        <v>0</v>
      </c>
      <c r="AX21" s="284">
        <f t="shared" si="8"/>
        <v>0</v>
      </c>
      <c r="AY21" s="284">
        <f t="shared" si="8"/>
        <v>0</v>
      </c>
      <c r="AZ21" s="284">
        <f t="shared" si="8"/>
        <v>0</v>
      </c>
      <c r="BA21" s="284">
        <f t="shared" si="8"/>
        <v>0</v>
      </c>
      <c r="BB21" s="284">
        <f t="shared" si="8"/>
        <v>0</v>
      </c>
      <c r="BC21" s="284">
        <f t="shared" si="8"/>
        <v>0</v>
      </c>
      <c r="BD21" s="284">
        <f>SUM(O21:BC21)</f>
        <v>0</v>
      </c>
      <c r="BE21" s="284">
        <f>AZ21/25</f>
        <v>0</v>
      </c>
      <c r="BF21" s="644"/>
      <c r="BG21" s="644"/>
      <c r="BH21" s="644"/>
      <c r="BI21" s="652"/>
      <c r="BJ21" s="652"/>
      <c r="BK21" s="644"/>
      <c r="BL21" s="644"/>
    </row>
    <row r="22" spans="1:64" ht="24.95" customHeight="1">
      <c r="A22" s="851"/>
      <c r="B22" s="847"/>
      <c r="C22" s="888"/>
      <c r="D22" s="889"/>
      <c r="E22" s="499"/>
      <c r="F22" s="836"/>
      <c r="G22" s="836"/>
      <c r="H22" s="836"/>
      <c r="I22" s="854"/>
      <c r="J22" s="496"/>
      <c r="K22" s="297" t="s">
        <v>362</v>
      </c>
      <c r="L22" s="292"/>
      <c r="M22" s="292"/>
      <c r="N22" s="292"/>
      <c r="O22" s="293">
        <f>O20</f>
        <v>0</v>
      </c>
      <c r="P22" s="293">
        <f>P20</f>
        <v>0</v>
      </c>
      <c r="Q22" s="293">
        <f>Q20</f>
        <v>0</v>
      </c>
      <c r="R22" s="293">
        <f>Q22</f>
        <v>0</v>
      </c>
      <c r="S22" s="293">
        <v>0</v>
      </c>
      <c r="T22" s="293">
        <f>R22</f>
        <v>0</v>
      </c>
      <c r="U22" s="293">
        <f>T22</f>
        <v>0</v>
      </c>
      <c r="V22" s="293">
        <f>U22</f>
        <v>0</v>
      </c>
      <c r="W22" s="293">
        <f>V22</f>
        <v>0</v>
      </c>
      <c r="X22" s="293">
        <f>W22</f>
        <v>0</v>
      </c>
      <c r="Y22" s="293">
        <f t="shared" si="8"/>
        <v>0</v>
      </c>
      <c r="Z22" s="293">
        <f t="shared" si="8"/>
        <v>0</v>
      </c>
      <c r="AA22" s="293">
        <f t="shared" si="8"/>
        <v>0</v>
      </c>
      <c r="AB22" s="293">
        <f t="shared" si="8"/>
        <v>0</v>
      </c>
      <c r="AC22" s="293">
        <f t="shared" si="8"/>
        <v>0</v>
      </c>
      <c r="AD22" s="293">
        <f t="shared" si="8"/>
        <v>0</v>
      </c>
      <c r="AE22" s="293">
        <f t="shared" si="8"/>
        <v>0</v>
      </c>
      <c r="AF22" s="293">
        <f t="shared" ref="AF22:AO22" si="9">AE22</f>
        <v>0</v>
      </c>
      <c r="AG22" s="293">
        <f t="shared" si="9"/>
        <v>0</v>
      </c>
      <c r="AH22" s="293">
        <f t="shared" si="9"/>
        <v>0</v>
      </c>
      <c r="AI22" s="293">
        <f t="shared" si="9"/>
        <v>0</v>
      </c>
      <c r="AJ22" s="293">
        <f t="shared" si="9"/>
        <v>0</v>
      </c>
      <c r="AK22" s="293">
        <f t="shared" si="9"/>
        <v>0</v>
      </c>
      <c r="AL22" s="293">
        <f t="shared" si="9"/>
        <v>0</v>
      </c>
      <c r="AM22" s="293">
        <f t="shared" si="9"/>
        <v>0</v>
      </c>
      <c r="AN22" s="293">
        <f t="shared" si="9"/>
        <v>0</v>
      </c>
      <c r="AO22" s="293">
        <f t="shared" si="9"/>
        <v>0</v>
      </c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654">
        <f>SUM(O22:BC22)</f>
        <v>0</v>
      </c>
      <c r="BE22" s="284"/>
      <c r="BF22" s="644"/>
      <c r="BG22" s="644"/>
      <c r="BH22" s="644"/>
      <c r="BI22" s="644"/>
      <c r="BJ22" s="644"/>
      <c r="BK22" s="644"/>
      <c r="BL22" s="644"/>
    </row>
    <row r="23" spans="1:64" ht="24.95" customHeight="1">
      <c r="A23" s="851"/>
      <c r="B23" s="847">
        <v>10</v>
      </c>
      <c r="C23" s="888"/>
      <c r="D23" s="889"/>
      <c r="E23" s="499"/>
      <c r="F23" s="836"/>
      <c r="G23" s="836"/>
      <c r="H23" s="836"/>
      <c r="I23" s="853"/>
      <c r="J23" s="498">
        <f>BD23</f>
        <v>0</v>
      </c>
      <c r="K23" s="351" t="s">
        <v>361</v>
      </c>
      <c r="L23" s="292"/>
      <c r="M23" s="292"/>
      <c r="N23" s="292"/>
      <c r="O23" s="292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84">
        <f>E23/48</f>
        <v>0</v>
      </c>
      <c r="AS23" s="284">
        <f>AR23</f>
        <v>0</v>
      </c>
      <c r="AT23" s="284">
        <f t="shared" ref="AT23:BC23" si="10">AS23</f>
        <v>0</v>
      </c>
      <c r="AU23" s="284">
        <f t="shared" si="10"/>
        <v>0</v>
      </c>
      <c r="AV23" s="284">
        <f t="shared" si="10"/>
        <v>0</v>
      </c>
      <c r="AW23" s="284">
        <f t="shared" si="10"/>
        <v>0</v>
      </c>
      <c r="AX23" s="284">
        <f t="shared" si="10"/>
        <v>0</v>
      </c>
      <c r="AY23" s="284">
        <f t="shared" si="10"/>
        <v>0</v>
      </c>
      <c r="AZ23" s="284">
        <f t="shared" si="10"/>
        <v>0</v>
      </c>
      <c r="BA23" s="284">
        <f t="shared" si="10"/>
        <v>0</v>
      </c>
      <c r="BB23" s="284">
        <f t="shared" si="10"/>
        <v>0</v>
      </c>
      <c r="BC23" s="284">
        <f t="shared" si="10"/>
        <v>0</v>
      </c>
      <c r="BD23" s="284">
        <f>SUM(AR23:BC23)</f>
        <v>0</v>
      </c>
      <c r="BE23" s="284">
        <f>AZ23/25</f>
        <v>0</v>
      </c>
      <c r="BF23" s="644"/>
      <c r="BG23" s="644"/>
      <c r="BH23" s="644"/>
      <c r="BI23" s="644"/>
      <c r="BJ23" s="644"/>
      <c r="BK23" s="644"/>
      <c r="BL23" s="644"/>
    </row>
    <row r="24" spans="1:64" ht="24.95" customHeight="1">
      <c r="A24" s="851"/>
      <c r="B24" s="847"/>
      <c r="C24" s="888"/>
      <c r="D24" s="889"/>
      <c r="E24" s="499"/>
      <c r="F24" s="836"/>
      <c r="G24" s="836"/>
      <c r="H24" s="836"/>
      <c r="I24" s="854"/>
      <c r="J24" s="496"/>
      <c r="K24" s="297" t="s">
        <v>362</v>
      </c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284"/>
      <c r="X24" s="284"/>
      <c r="Y24" s="284"/>
      <c r="Z24" s="284"/>
      <c r="AA24" s="284"/>
      <c r="AB24" s="284"/>
      <c r="AC24" s="284"/>
      <c r="AD24" s="284"/>
      <c r="AE24" s="284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650">
        <f>SUM(U24:BC24)</f>
        <v>0</v>
      </c>
      <c r="BE24" s="284"/>
      <c r="BF24" s="644"/>
      <c r="BG24" s="644"/>
      <c r="BH24" s="644"/>
      <c r="BI24" s="644"/>
      <c r="BJ24" s="644"/>
      <c r="BK24" s="644"/>
      <c r="BL24" s="644"/>
    </row>
    <row r="25" spans="1:64" ht="24.95" customHeight="1">
      <c r="A25" s="851"/>
      <c r="B25" s="847">
        <v>11</v>
      </c>
      <c r="C25" s="888"/>
      <c r="D25" s="889"/>
      <c r="E25" s="499"/>
      <c r="F25" s="836"/>
      <c r="G25" s="836"/>
      <c r="H25" s="836"/>
      <c r="I25" s="854"/>
      <c r="J25" s="498"/>
      <c r="K25" s="351" t="s">
        <v>361</v>
      </c>
      <c r="L25" s="441"/>
      <c r="M25" s="441"/>
      <c r="N25" s="284">
        <f>E25/48</f>
        <v>0</v>
      </c>
      <c r="O25" s="284">
        <f>N25</f>
        <v>0</v>
      </c>
      <c r="P25" s="284">
        <f>O25</f>
        <v>0</v>
      </c>
      <c r="Q25" s="284">
        <f t="shared" ref="Q25:BC26" si="11">P25</f>
        <v>0</v>
      </c>
      <c r="R25" s="284">
        <f t="shared" si="11"/>
        <v>0</v>
      </c>
      <c r="S25" s="284">
        <f t="shared" si="11"/>
        <v>0</v>
      </c>
      <c r="T25" s="284">
        <f t="shared" si="11"/>
        <v>0</v>
      </c>
      <c r="U25" s="284">
        <f t="shared" si="11"/>
        <v>0</v>
      </c>
      <c r="V25" s="284">
        <f t="shared" si="11"/>
        <v>0</v>
      </c>
      <c r="W25" s="284">
        <f t="shared" si="11"/>
        <v>0</v>
      </c>
      <c r="X25" s="284">
        <f t="shared" si="11"/>
        <v>0</v>
      </c>
      <c r="Y25" s="284">
        <f t="shared" si="11"/>
        <v>0</v>
      </c>
      <c r="Z25" s="284">
        <f t="shared" si="11"/>
        <v>0</v>
      </c>
      <c r="AA25" s="284">
        <f t="shared" si="11"/>
        <v>0</v>
      </c>
      <c r="AB25" s="284">
        <v>0</v>
      </c>
      <c r="AC25" s="284">
        <f t="shared" si="11"/>
        <v>0</v>
      </c>
      <c r="AD25" s="284">
        <f t="shared" si="11"/>
        <v>0</v>
      </c>
      <c r="AE25" s="284">
        <f t="shared" si="11"/>
        <v>0</v>
      </c>
      <c r="AF25" s="284">
        <f t="shared" si="11"/>
        <v>0</v>
      </c>
      <c r="AG25" s="284">
        <f t="shared" si="11"/>
        <v>0</v>
      </c>
      <c r="AH25" s="284">
        <f t="shared" si="11"/>
        <v>0</v>
      </c>
      <c r="AI25" s="284">
        <f t="shared" si="11"/>
        <v>0</v>
      </c>
      <c r="AJ25" s="284">
        <f t="shared" si="11"/>
        <v>0</v>
      </c>
      <c r="AK25" s="284">
        <f t="shared" si="11"/>
        <v>0</v>
      </c>
      <c r="AL25" s="284">
        <f t="shared" si="11"/>
        <v>0</v>
      </c>
      <c r="AM25" s="284">
        <f t="shared" si="11"/>
        <v>0</v>
      </c>
      <c r="AN25" s="284">
        <f t="shared" si="11"/>
        <v>0</v>
      </c>
      <c r="AO25" s="284">
        <f t="shared" si="11"/>
        <v>0</v>
      </c>
      <c r="AP25" s="284">
        <f t="shared" si="11"/>
        <v>0</v>
      </c>
      <c r="AQ25" s="284">
        <f t="shared" si="11"/>
        <v>0</v>
      </c>
      <c r="AR25" s="284">
        <f>E25/48</f>
        <v>0</v>
      </c>
      <c r="AS25" s="284">
        <f t="shared" si="11"/>
        <v>0</v>
      </c>
      <c r="AT25" s="284">
        <f t="shared" si="11"/>
        <v>0</v>
      </c>
      <c r="AU25" s="284">
        <f t="shared" si="11"/>
        <v>0</v>
      </c>
      <c r="AV25" s="284">
        <f t="shared" si="11"/>
        <v>0</v>
      </c>
      <c r="AW25" s="284">
        <f t="shared" si="11"/>
        <v>0</v>
      </c>
      <c r="AX25" s="284">
        <f t="shared" si="11"/>
        <v>0</v>
      </c>
      <c r="AY25" s="284">
        <f t="shared" si="11"/>
        <v>0</v>
      </c>
      <c r="AZ25" s="284">
        <f t="shared" si="11"/>
        <v>0</v>
      </c>
      <c r="BA25" s="284">
        <f t="shared" si="11"/>
        <v>0</v>
      </c>
      <c r="BB25" s="284">
        <f t="shared" si="11"/>
        <v>0</v>
      </c>
      <c r="BC25" s="284">
        <f t="shared" si="11"/>
        <v>0</v>
      </c>
      <c r="BD25" s="284">
        <f>SUM(N25:BC25)</f>
        <v>0</v>
      </c>
      <c r="BE25" s="284">
        <f>AZ25/25</f>
        <v>0</v>
      </c>
      <c r="BF25" s="644"/>
      <c r="BG25" s="644"/>
      <c r="BH25" s="644"/>
      <c r="BI25" s="644"/>
      <c r="BJ25" s="644"/>
      <c r="BK25" s="644"/>
      <c r="BL25" s="644"/>
    </row>
    <row r="26" spans="1:64" ht="24.95" customHeight="1">
      <c r="A26" s="851"/>
      <c r="B26" s="847"/>
      <c r="C26" s="888"/>
      <c r="D26" s="889"/>
      <c r="E26" s="499"/>
      <c r="F26" s="836"/>
      <c r="G26" s="836"/>
      <c r="H26" s="836"/>
      <c r="I26" s="854"/>
      <c r="J26" s="498">
        <f>BD26</f>
        <v>0</v>
      </c>
      <c r="K26" s="297" t="s">
        <v>362</v>
      </c>
      <c r="L26" s="441"/>
      <c r="M26" s="441"/>
      <c r="N26" s="293">
        <f>N25</f>
        <v>0</v>
      </c>
      <c r="O26" s="293">
        <f>N26</f>
        <v>0</v>
      </c>
      <c r="P26" s="293">
        <f>O26</f>
        <v>0</v>
      </c>
      <c r="Q26" s="293">
        <f>P26</f>
        <v>0</v>
      </c>
      <c r="R26" s="354">
        <f>Q26</f>
        <v>0</v>
      </c>
      <c r="S26" s="354">
        <v>0</v>
      </c>
      <c r="T26" s="354">
        <f>R26</f>
        <v>0</v>
      </c>
      <c r="U26" s="354">
        <f>T26</f>
        <v>0</v>
      </c>
      <c r="V26" s="354">
        <f>U26</f>
        <v>0</v>
      </c>
      <c r="W26" s="354">
        <f>V26</f>
        <v>0</v>
      </c>
      <c r="X26" s="293">
        <f>W26</f>
        <v>0</v>
      </c>
      <c r="Y26" s="293">
        <f t="shared" si="11"/>
        <v>0</v>
      </c>
      <c r="Z26" s="293">
        <f t="shared" si="11"/>
        <v>0</v>
      </c>
      <c r="AA26" s="293">
        <f t="shared" si="11"/>
        <v>0</v>
      </c>
      <c r="AB26" s="293">
        <f>AA26</f>
        <v>0</v>
      </c>
      <c r="AC26" s="293">
        <f t="shared" si="11"/>
        <v>0</v>
      </c>
      <c r="AD26" s="293">
        <f t="shared" si="11"/>
        <v>0</v>
      </c>
      <c r="AE26" s="293">
        <f t="shared" si="11"/>
        <v>0</v>
      </c>
      <c r="AF26" s="293">
        <f t="shared" ref="AF26:AO26" si="12">AE26</f>
        <v>0</v>
      </c>
      <c r="AG26" s="293">
        <f t="shared" si="12"/>
        <v>0</v>
      </c>
      <c r="AH26" s="293">
        <f t="shared" si="12"/>
        <v>0</v>
      </c>
      <c r="AI26" s="293">
        <f t="shared" si="12"/>
        <v>0</v>
      </c>
      <c r="AJ26" s="293">
        <f t="shared" si="12"/>
        <v>0</v>
      </c>
      <c r="AK26" s="293">
        <f t="shared" si="12"/>
        <v>0</v>
      </c>
      <c r="AL26" s="293">
        <f t="shared" si="12"/>
        <v>0</v>
      </c>
      <c r="AM26" s="293">
        <f t="shared" si="12"/>
        <v>0</v>
      </c>
      <c r="AN26" s="293">
        <f t="shared" si="12"/>
        <v>0</v>
      </c>
      <c r="AO26" s="293">
        <f t="shared" si="12"/>
        <v>0</v>
      </c>
      <c r="AP26" s="293"/>
      <c r="AQ26" s="293"/>
      <c r="AR26" s="354"/>
      <c r="AS26" s="354"/>
      <c r="AT26" s="354"/>
      <c r="AU26" s="354"/>
      <c r="AV26" s="354"/>
      <c r="AW26" s="354"/>
      <c r="AX26" s="354"/>
      <c r="AY26" s="354"/>
      <c r="AZ26" s="354"/>
      <c r="BA26" s="354"/>
      <c r="BB26" s="354"/>
      <c r="BC26" s="354"/>
      <c r="BD26" s="654">
        <f>SUM(N26:BC26)</f>
        <v>0</v>
      </c>
      <c r="BE26" s="284"/>
      <c r="BF26" s="644"/>
      <c r="BG26" s="644"/>
      <c r="BH26" s="644"/>
      <c r="BI26" s="644"/>
      <c r="BJ26" s="644"/>
      <c r="BK26" s="644"/>
      <c r="BL26" s="644"/>
    </row>
    <row r="27" spans="1:64" ht="24.95" customHeight="1">
      <c r="A27" s="851"/>
      <c r="B27" s="847">
        <v>12</v>
      </c>
      <c r="C27" s="887"/>
      <c r="D27" s="835"/>
      <c r="E27" s="655"/>
      <c r="F27" s="836"/>
      <c r="G27" s="836"/>
      <c r="H27" s="836"/>
      <c r="I27" s="853"/>
      <c r="J27" s="498">
        <f>BD27</f>
        <v>0</v>
      </c>
      <c r="K27" s="351" t="s">
        <v>361</v>
      </c>
      <c r="L27" s="292"/>
      <c r="M27" s="292"/>
      <c r="N27" s="292"/>
      <c r="O27" s="292"/>
      <c r="P27" s="292"/>
      <c r="Q27" s="284">
        <f>E27/48</f>
        <v>0</v>
      </c>
      <c r="R27" s="284">
        <f>Q27</f>
        <v>0</v>
      </c>
      <c r="S27" s="284">
        <f t="shared" ref="S27:BC28" si="13">R27</f>
        <v>0</v>
      </c>
      <c r="T27" s="284">
        <f t="shared" si="13"/>
        <v>0</v>
      </c>
      <c r="U27" s="284">
        <f t="shared" si="13"/>
        <v>0</v>
      </c>
      <c r="V27" s="284">
        <f t="shared" si="13"/>
        <v>0</v>
      </c>
      <c r="W27" s="284">
        <f t="shared" si="13"/>
        <v>0</v>
      </c>
      <c r="X27" s="284">
        <f t="shared" si="13"/>
        <v>0</v>
      </c>
      <c r="Y27" s="284">
        <f t="shared" si="13"/>
        <v>0</v>
      </c>
      <c r="Z27" s="284">
        <f t="shared" si="13"/>
        <v>0</v>
      </c>
      <c r="AA27" s="284">
        <f t="shared" si="13"/>
        <v>0</v>
      </c>
      <c r="AB27" s="284">
        <f t="shared" si="13"/>
        <v>0</v>
      </c>
      <c r="AC27" s="284">
        <f t="shared" si="13"/>
        <v>0</v>
      </c>
      <c r="AD27" s="284">
        <f t="shared" si="13"/>
        <v>0</v>
      </c>
      <c r="AE27" s="284">
        <f t="shared" si="13"/>
        <v>0</v>
      </c>
      <c r="AF27" s="284">
        <f t="shared" si="13"/>
        <v>0</v>
      </c>
      <c r="AG27" s="284">
        <f t="shared" si="13"/>
        <v>0</v>
      </c>
      <c r="AH27" s="284">
        <f t="shared" si="13"/>
        <v>0</v>
      </c>
      <c r="AI27" s="284">
        <f t="shared" si="13"/>
        <v>0</v>
      </c>
      <c r="AJ27" s="284">
        <f t="shared" si="13"/>
        <v>0</v>
      </c>
      <c r="AK27" s="284">
        <f t="shared" si="13"/>
        <v>0</v>
      </c>
      <c r="AL27" s="284">
        <f t="shared" si="13"/>
        <v>0</v>
      </c>
      <c r="AM27" s="284">
        <f t="shared" si="13"/>
        <v>0</v>
      </c>
      <c r="AN27" s="284">
        <f t="shared" si="13"/>
        <v>0</v>
      </c>
      <c r="AO27" s="284">
        <f t="shared" si="13"/>
        <v>0</v>
      </c>
      <c r="AP27" s="284">
        <f t="shared" si="13"/>
        <v>0</v>
      </c>
      <c r="AQ27" s="284">
        <f t="shared" si="13"/>
        <v>0</v>
      </c>
      <c r="AR27" s="284">
        <f t="shared" si="13"/>
        <v>0</v>
      </c>
      <c r="AS27" s="284">
        <f t="shared" si="13"/>
        <v>0</v>
      </c>
      <c r="AT27" s="284">
        <f t="shared" si="13"/>
        <v>0</v>
      </c>
      <c r="AU27" s="284">
        <f t="shared" si="13"/>
        <v>0</v>
      </c>
      <c r="AV27" s="284">
        <f t="shared" si="13"/>
        <v>0</v>
      </c>
      <c r="AW27" s="284">
        <f t="shared" si="13"/>
        <v>0</v>
      </c>
      <c r="AX27" s="284">
        <f t="shared" si="13"/>
        <v>0</v>
      </c>
      <c r="AY27" s="284">
        <f t="shared" si="13"/>
        <v>0</v>
      </c>
      <c r="AZ27" s="284">
        <f t="shared" si="13"/>
        <v>0</v>
      </c>
      <c r="BA27" s="284">
        <f t="shared" si="13"/>
        <v>0</v>
      </c>
      <c r="BB27" s="284">
        <f t="shared" si="13"/>
        <v>0</v>
      </c>
      <c r="BC27" s="284">
        <f t="shared" si="13"/>
        <v>0</v>
      </c>
      <c r="BD27" s="284">
        <f>SUM(Q27:BC27)</f>
        <v>0</v>
      </c>
      <c r="BE27" s="284">
        <f>AZ27/25</f>
        <v>0</v>
      </c>
      <c r="BF27" s="644"/>
      <c r="BG27" s="644"/>
      <c r="BH27" s="644"/>
      <c r="BI27" s="644"/>
      <c r="BJ27" s="644"/>
      <c r="BK27" s="644"/>
      <c r="BL27" s="644"/>
    </row>
    <row r="28" spans="1:64" ht="28.5" customHeight="1">
      <c r="A28" s="851"/>
      <c r="B28" s="847"/>
      <c r="C28" s="887"/>
      <c r="D28" s="835"/>
      <c r="E28" s="655"/>
      <c r="F28" s="836"/>
      <c r="G28" s="836"/>
      <c r="H28" s="836"/>
      <c r="I28" s="854"/>
      <c r="J28" s="496"/>
      <c r="K28" s="297" t="s">
        <v>362</v>
      </c>
      <c r="L28" s="292"/>
      <c r="M28" s="292"/>
      <c r="N28" s="292"/>
      <c r="O28" s="292"/>
      <c r="P28" s="292"/>
      <c r="Q28" s="656">
        <f>Q27*3/6</f>
        <v>0</v>
      </c>
      <c r="R28" s="656">
        <f>R27</f>
        <v>0</v>
      </c>
      <c r="S28" s="656">
        <v>0</v>
      </c>
      <c r="T28" s="656">
        <f>R28</f>
        <v>0</v>
      </c>
      <c r="U28" s="656">
        <f>T28</f>
        <v>0</v>
      </c>
      <c r="V28" s="656">
        <f>U28</f>
        <v>0</v>
      </c>
      <c r="W28" s="656">
        <f>V28</f>
        <v>0</v>
      </c>
      <c r="X28" s="656">
        <f>W28</f>
        <v>0</v>
      </c>
      <c r="Y28" s="656">
        <f t="shared" si="13"/>
        <v>0</v>
      </c>
      <c r="Z28" s="656">
        <f t="shared" si="13"/>
        <v>0</v>
      </c>
      <c r="AA28" s="656">
        <f t="shared" si="13"/>
        <v>0</v>
      </c>
      <c r="AB28" s="656">
        <f t="shared" si="13"/>
        <v>0</v>
      </c>
      <c r="AC28" s="656">
        <f t="shared" si="13"/>
        <v>0</v>
      </c>
      <c r="AD28" s="656">
        <f t="shared" si="13"/>
        <v>0</v>
      </c>
      <c r="AE28" s="656">
        <f t="shared" si="13"/>
        <v>0</v>
      </c>
      <c r="AF28" s="656">
        <f t="shared" ref="AF28:AO28" si="14">AE28</f>
        <v>0</v>
      </c>
      <c r="AG28" s="656">
        <f t="shared" si="14"/>
        <v>0</v>
      </c>
      <c r="AH28" s="656">
        <f t="shared" si="14"/>
        <v>0</v>
      </c>
      <c r="AI28" s="656">
        <f t="shared" si="14"/>
        <v>0</v>
      </c>
      <c r="AJ28" s="656">
        <f t="shared" si="14"/>
        <v>0</v>
      </c>
      <c r="AK28" s="656">
        <f t="shared" si="14"/>
        <v>0</v>
      </c>
      <c r="AL28" s="656">
        <f t="shared" si="14"/>
        <v>0</v>
      </c>
      <c r="AM28" s="656">
        <f t="shared" si="14"/>
        <v>0</v>
      </c>
      <c r="AN28" s="656">
        <f t="shared" si="14"/>
        <v>0</v>
      </c>
      <c r="AO28" s="656">
        <f t="shared" si="14"/>
        <v>0</v>
      </c>
      <c r="AP28" s="442"/>
      <c r="AQ28" s="442"/>
      <c r="AR28" s="442"/>
      <c r="AS28" s="442"/>
      <c r="AT28" s="442"/>
      <c r="AU28" s="442"/>
      <c r="AV28" s="442"/>
      <c r="AW28" s="442"/>
      <c r="AX28" s="442"/>
      <c r="AY28" s="442"/>
      <c r="AZ28" s="442"/>
      <c r="BA28" s="442"/>
      <c r="BB28" s="442"/>
      <c r="BC28" s="442"/>
      <c r="BD28" s="654">
        <f>SUM(Q28:BC28)</f>
        <v>0</v>
      </c>
      <c r="BE28" s="284"/>
      <c r="BF28" s="644"/>
      <c r="BG28" s="644"/>
      <c r="BH28" s="644"/>
      <c r="BI28" s="644"/>
      <c r="BJ28" s="644"/>
      <c r="BK28" s="644"/>
      <c r="BL28" s="644"/>
    </row>
    <row r="29" spans="1:64" ht="24.95" customHeight="1">
      <c r="A29" s="851"/>
      <c r="B29" s="847">
        <v>13</v>
      </c>
      <c r="C29" s="887"/>
      <c r="D29" s="835"/>
      <c r="E29" s="655"/>
      <c r="F29" s="836"/>
      <c r="G29" s="836"/>
      <c r="H29" s="836"/>
      <c r="I29" s="853"/>
      <c r="J29" s="498">
        <f>BD29</f>
        <v>0</v>
      </c>
      <c r="K29" s="351" t="s">
        <v>361</v>
      </c>
      <c r="L29" s="292"/>
      <c r="M29" s="292"/>
      <c r="N29" s="292"/>
      <c r="O29" s="292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>
        <f>E29/48</f>
        <v>0</v>
      </c>
      <c r="AG29" s="564">
        <f>AF29</f>
        <v>0</v>
      </c>
      <c r="AH29" s="564">
        <f t="shared" ref="AH29:BC29" si="15">AG29</f>
        <v>0</v>
      </c>
      <c r="AI29" s="564">
        <f t="shared" si="15"/>
        <v>0</v>
      </c>
      <c r="AJ29" s="564">
        <f t="shared" si="15"/>
        <v>0</v>
      </c>
      <c r="AK29" s="564">
        <f t="shared" si="15"/>
        <v>0</v>
      </c>
      <c r="AL29" s="564">
        <f t="shared" si="15"/>
        <v>0</v>
      </c>
      <c r="AM29" s="564">
        <f t="shared" si="15"/>
        <v>0</v>
      </c>
      <c r="AN29" s="564">
        <f t="shared" si="15"/>
        <v>0</v>
      </c>
      <c r="AO29" s="564">
        <f t="shared" si="15"/>
        <v>0</v>
      </c>
      <c r="AP29" s="564">
        <f t="shared" si="15"/>
        <v>0</v>
      </c>
      <c r="AQ29" s="564">
        <f t="shared" si="15"/>
        <v>0</v>
      </c>
      <c r="AR29" s="564">
        <f t="shared" si="15"/>
        <v>0</v>
      </c>
      <c r="AS29" s="564">
        <f t="shared" si="15"/>
        <v>0</v>
      </c>
      <c r="AT29" s="564">
        <f t="shared" si="15"/>
        <v>0</v>
      </c>
      <c r="AU29" s="564">
        <f t="shared" si="15"/>
        <v>0</v>
      </c>
      <c r="AV29" s="564">
        <f t="shared" si="15"/>
        <v>0</v>
      </c>
      <c r="AW29" s="564">
        <f t="shared" si="15"/>
        <v>0</v>
      </c>
      <c r="AX29" s="564">
        <f t="shared" si="15"/>
        <v>0</v>
      </c>
      <c r="AY29" s="564">
        <f t="shared" si="15"/>
        <v>0</v>
      </c>
      <c r="AZ29" s="564">
        <f t="shared" si="15"/>
        <v>0</v>
      </c>
      <c r="BA29" s="564">
        <f t="shared" si="15"/>
        <v>0</v>
      </c>
      <c r="BB29" s="564">
        <f t="shared" si="15"/>
        <v>0</v>
      </c>
      <c r="BC29" s="564">
        <f t="shared" si="15"/>
        <v>0</v>
      </c>
      <c r="BD29" s="284">
        <f>SUM(AF29:BC29)</f>
        <v>0</v>
      </c>
      <c r="BE29" s="284">
        <f>AZ29/25</f>
        <v>0</v>
      </c>
      <c r="BF29" s="644"/>
      <c r="BG29" s="644"/>
      <c r="BH29" s="644"/>
      <c r="BI29" s="644"/>
      <c r="BJ29" s="644"/>
      <c r="BK29" s="644"/>
      <c r="BL29" s="644"/>
    </row>
    <row r="30" spans="1:64" ht="26.25" customHeight="1">
      <c r="A30" s="851"/>
      <c r="B30" s="847"/>
      <c r="C30" s="887"/>
      <c r="D30" s="835"/>
      <c r="E30" s="655"/>
      <c r="F30" s="836"/>
      <c r="G30" s="836"/>
      <c r="H30" s="836"/>
      <c r="I30" s="854"/>
      <c r="J30" s="496"/>
      <c r="K30" s="297" t="s">
        <v>362</v>
      </c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442"/>
      <c r="AG30" s="442"/>
      <c r="AH30" s="442"/>
      <c r="AI30" s="442"/>
      <c r="AJ30" s="442"/>
      <c r="AK30" s="442"/>
      <c r="AL30" s="442"/>
      <c r="AM30" s="442"/>
      <c r="AN30" s="442"/>
      <c r="AO30" s="442"/>
      <c r="AP30" s="442"/>
      <c r="AQ30" s="442"/>
      <c r="AR30" s="442"/>
      <c r="AS30" s="442"/>
      <c r="AT30" s="442"/>
      <c r="AU30" s="442"/>
      <c r="AV30" s="442"/>
      <c r="AW30" s="442"/>
      <c r="AX30" s="442"/>
      <c r="AY30" s="442"/>
      <c r="AZ30" s="442"/>
      <c r="BA30" s="442"/>
      <c r="BB30" s="442"/>
      <c r="BC30" s="442"/>
      <c r="BD30" s="650">
        <f>SUM(U30:BC30)</f>
        <v>0</v>
      </c>
      <c r="BE30" s="284"/>
      <c r="BF30" s="644"/>
      <c r="BG30" s="644"/>
      <c r="BH30" s="644"/>
      <c r="BI30" s="644"/>
      <c r="BJ30" s="644"/>
      <c r="BK30" s="644"/>
      <c r="BL30" s="644"/>
    </row>
    <row r="31" spans="1:64" ht="26.25" customHeight="1">
      <c r="A31" s="851"/>
      <c r="B31" s="847">
        <v>14</v>
      </c>
      <c r="C31" s="849"/>
      <c r="D31" s="835"/>
      <c r="E31" s="655"/>
      <c r="F31" s="836"/>
      <c r="G31" s="836"/>
      <c r="H31" s="836"/>
      <c r="I31" s="853"/>
      <c r="J31" s="498">
        <f>BD31</f>
        <v>0</v>
      </c>
      <c r="K31" s="351" t="s">
        <v>361</v>
      </c>
      <c r="L31" s="292"/>
      <c r="M31" s="292"/>
      <c r="N31" s="292"/>
      <c r="O31" s="292"/>
      <c r="P31" s="292"/>
      <c r="Q31" s="292"/>
      <c r="R31" s="292"/>
      <c r="S31" s="292"/>
      <c r="T31" s="284">
        <f>E31/48</f>
        <v>0</v>
      </c>
      <c r="U31" s="284">
        <f>T31</f>
        <v>0</v>
      </c>
      <c r="V31" s="284">
        <f t="shared" ref="V31:BC32" si="16">U31</f>
        <v>0</v>
      </c>
      <c r="W31" s="284">
        <f t="shared" si="16"/>
        <v>0</v>
      </c>
      <c r="X31" s="284">
        <f t="shared" si="16"/>
        <v>0</v>
      </c>
      <c r="Y31" s="284">
        <f t="shared" si="16"/>
        <v>0</v>
      </c>
      <c r="Z31" s="284">
        <f t="shared" si="16"/>
        <v>0</v>
      </c>
      <c r="AA31" s="284">
        <f t="shared" si="16"/>
        <v>0</v>
      </c>
      <c r="AB31" s="284">
        <f t="shared" si="16"/>
        <v>0</v>
      </c>
      <c r="AC31" s="284">
        <v>0</v>
      </c>
      <c r="AD31" s="284">
        <f t="shared" si="16"/>
        <v>0</v>
      </c>
      <c r="AE31" s="284">
        <f t="shared" si="16"/>
        <v>0</v>
      </c>
      <c r="AF31" s="284">
        <f t="shared" si="16"/>
        <v>0</v>
      </c>
      <c r="AG31" s="284">
        <f t="shared" si="16"/>
        <v>0</v>
      </c>
      <c r="AH31" s="284">
        <f t="shared" si="16"/>
        <v>0</v>
      </c>
      <c r="AI31" s="284">
        <f t="shared" si="16"/>
        <v>0</v>
      </c>
      <c r="AJ31" s="284">
        <f t="shared" si="16"/>
        <v>0</v>
      </c>
      <c r="AK31" s="284">
        <f t="shared" si="16"/>
        <v>0</v>
      </c>
      <c r="AL31" s="284">
        <f t="shared" si="16"/>
        <v>0</v>
      </c>
      <c r="AM31" s="284">
        <f t="shared" si="16"/>
        <v>0</v>
      </c>
      <c r="AN31" s="284">
        <f t="shared" si="16"/>
        <v>0</v>
      </c>
      <c r="AO31" s="284">
        <f t="shared" si="16"/>
        <v>0</v>
      </c>
      <c r="AP31" s="284">
        <f t="shared" si="16"/>
        <v>0</v>
      </c>
      <c r="AQ31" s="284">
        <f t="shared" si="16"/>
        <v>0</v>
      </c>
      <c r="AR31" s="284">
        <f>E31/48</f>
        <v>0</v>
      </c>
      <c r="AS31" s="284">
        <f t="shared" si="16"/>
        <v>0</v>
      </c>
      <c r="AT31" s="284">
        <f t="shared" si="16"/>
        <v>0</v>
      </c>
      <c r="AU31" s="284">
        <f t="shared" si="16"/>
        <v>0</v>
      </c>
      <c r="AV31" s="284">
        <f t="shared" si="16"/>
        <v>0</v>
      </c>
      <c r="AW31" s="284">
        <f t="shared" si="16"/>
        <v>0</v>
      </c>
      <c r="AX31" s="284">
        <f t="shared" si="16"/>
        <v>0</v>
      </c>
      <c r="AY31" s="284">
        <f t="shared" si="16"/>
        <v>0</v>
      </c>
      <c r="AZ31" s="284">
        <f t="shared" si="16"/>
        <v>0</v>
      </c>
      <c r="BA31" s="284">
        <f t="shared" si="16"/>
        <v>0</v>
      </c>
      <c r="BB31" s="284">
        <f t="shared" si="16"/>
        <v>0</v>
      </c>
      <c r="BC31" s="284">
        <f t="shared" si="16"/>
        <v>0</v>
      </c>
      <c r="BD31" s="284">
        <f>SUM(T31:BC31)</f>
        <v>0</v>
      </c>
      <c r="BE31" s="284">
        <f>AZ31/25</f>
        <v>0</v>
      </c>
      <c r="BF31" s="644"/>
      <c r="BG31" s="644"/>
      <c r="BH31" s="644"/>
      <c r="BI31" s="644"/>
      <c r="BJ31" s="644"/>
      <c r="BK31" s="644"/>
      <c r="BL31" s="644"/>
    </row>
    <row r="32" spans="1:64" ht="26.25" customHeight="1">
      <c r="A32" s="851"/>
      <c r="B32" s="847"/>
      <c r="C32" s="849"/>
      <c r="D32" s="835"/>
      <c r="E32" s="655"/>
      <c r="F32" s="836"/>
      <c r="G32" s="836"/>
      <c r="H32" s="836"/>
      <c r="I32" s="854"/>
      <c r="J32" s="496"/>
      <c r="K32" s="297" t="s">
        <v>362</v>
      </c>
      <c r="L32" s="292"/>
      <c r="M32" s="292"/>
      <c r="N32" s="292"/>
      <c r="O32" s="292"/>
      <c r="P32" s="292"/>
      <c r="Q32" s="292"/>
      <c r="R32" s="292"/>
      <c r="S32" s="292"/>
      <c r="T32" s="656">
        <f>T31</f>
        <v>0</v>
      </c>
      <c r="U32" s="656">
        <f>T32</f>
        <v>0</v>
      </c>
      <c r="V32" s="656">
        <f>U32</f>
        <v>0</v>
      </c>
      <c r="W32" s="656">
        <f>V32</f>
        <v>0</v>
      </c>
      <c r="X32" s="656">
        <f>W32</f>
        <v>0</v>
      </c>
      <c r="Y32" s="656">
        <f t="shared" si="16"/>
        <v>0</v>
      </c>
      <c r="Z32" s="656">
        <f t="shared" si="16"/>
        <v>0</v>
      </c>
      <c r="AA32" s="656">
        <f t="shared" si="16"/>
        <v>0</v>
      </c>
      <c r="AB32" s="656">
        <f t="shared" si="16"/>
        <v>0</v>
      </c>
      <c r="AC32" s="656">
        <f>AB32</f>
        <v>0</v>
      </c>
      <c r="AD32" s="656">
        <f t="shared" si="16"/>
        <v>0</v>
      </c>
      <c r="AE32" s="656">
        <f t="shared" si="16"/>
        <v>0</v>
      </c>
      <c r="AF32" s="656">
        <f t="shared" ref="AF32:AO32" si="17">AE32</f>
        <v>0</v>
      </c>
      <c r="AG32" s="656">
        <f t="shared" si="17"/>
        <v>0</v>
      </c>
      <c r="AH32" s="656">
        <f t="shared" si="17"/>
        <v>0</v>
      </c>
      <c r="AI32" s="656">
        <f t="shared" si="17"/>
        <v>0</v>
      </c>
      <c r="AJ32" s="656">
        <f t="shared" si="17"/>
        <v>0</v>
      </c>
      <c r="AK32" s="656">
        <f t="shared" si="17"/>
        <v>0</v>
      </c>
      <c r="AL32" s="656">
        <f t="shared" si="17"/>
        <v>0</v>
      </c>
      <c r="AM32" s="656">
        <f t="shared" si="17"/>
        <v>0</v>
      </c>
      <c r="AN32" s="656">
        <f t="shared" si="17"/>
        <v>0</v>
      </c>
      <c r="AO32" s="656">
        <f t="shared" si="17"/>
        <v>0</v>
      </c>
      <c r="AP32" s="442"/>
      <c r="AQ32" s="442"/>
      <c r="AR32" s="442"/>
      <c r="AS32" s="442"/>
      <c r="AT32" s="442"/>
      <c r="AU32" s="442"/>
      <c r="AV32" s="442"/>
      <c r="AW32" s="442"/>
      <c r="AX32" s="442"/>
      <c r="AY32" s="442"/>
      <c r="AZ32" s="442"/>
      <c r="BA32" s="442"/>
      <c r="BB32" s="442"/>
      <c r="BC32" s="442"/>
      <c r="BD32" s="650">
        <f>SUM(U32:BC32)</f>
        <v>0</v>
      </c>
      <c r="BE32" s="284"/>
      <c r="BF32" s="644"/>
      <c r="BG32" s="644"/>
      <c r="BH32" s="644"/>
      <c r="BI32" s="644"/>
      <c r="BJ32" s="644"/>
      <c r="BK32" s="644"/>
      <c r="BL32" s="644"/>
    </row>
    <row r="33" spans="1:64" ht="26.25" customHeight="1">
      <c r="A33" s="851"/>
      <c r="B33" s="847">
        <v>15</v>
      </c>
      <c r="C33" s="887"/>
      <c r="D33" s="835"/>
      <c r="E33" s="655"/>
      <c r="F33" s="836"/>
      <c r="G33" s="836"/>
      <c r="H33" s="836"/>
      <c r="I33" s="853"/>
      <c r="J33" s="498">
        <v>0</v>
      </c>
      <c r="K33" s="351" t="s">
        <v>361</v>
      </c>
      <c r="L33" s="444"/>
      <c r="M33" s="444"/>
      <c r="N33" s="444"/>
      <c r="O33" s="444"/>
      <c r="P33" s="444"/>
      <c r="Q33" s="444"/>
      <c r="R33" s="444"/>
      <c r="S33" s="444"/>
      <c r="T33" s="284">
        <v>0</v>
      </c>
      <c r="U33" s="284">
        <f>T33</f>
        <v>0</v>
      </c>
      <c r="V33" s="284">
        <f t="shared" ref="V33:BC33" si="18">U33</f>
        <v>0</v>
      </c>
      <c r="W33" s="284">
        <f t="shared" si="18"/>
        <v>0</v>
      </c>
      <c r="X33" s="284">
        <f t="shared" si="18"/>
        <v>0</v>
      </c>
      <c r="Y33" s="284">
        <f t="shared" si="18"/>
        <v>0</v>
      </c>
      <c r="Z33" s="284">
        <f t="shared" si="18"/>
        <v>0</v>
      </c>
      <c r="AA33" s="284">
        <f t="shared" si="18"/>
        <v>0</v>
      </c>
      <c r="AB33" s="284">
        <f t="shared" si="18"/>
        <v>0</v>
      </c>
      <c r="AC33" s="284">
        <f t="shared" si="18"/>
        <v>0</v>
      </c>
      <c r="AD33" s="284">
        <f t="shared" si="18"/>
        <v>0</v>
      </c>
      <c r="AE33" s="284">
        <f t="shared" si="18"/>
        <v>0</v>
      </c>
      <c r="AF33" s="284">
        <f t="shared" si="18"/>
        <v>0</v>
      </c>
      <c r="AG33" s="284">
        <f t="shared" si="18"/>
        <v>0</v>
      </c>
      <c r="AH33" s="284">
        <f t="shared" si="18"/>
        <v>0</v>
      </c>
      <c r="AI33" s="284">
        <f t="shared" si="18"/>
        <v>0</v>
      </c>
      <c r="AJ33" s="284">
        <f t="shared" si="18"/>
        <v>0</v>
      </c>
      <c r="AK33" s="284">
        <f t="shared" si="18"/>
        <v>0</v>
      </c>
      <c r="AL33" s="284">
        <f t="shared" si="18"/>
        <v>0</v>
      </c>
      <c r="AM33" s="284">
        <f t="shared" si="18"/>
        <v>0</v>
      </c>
      <c r="AN33" s="284">
        <f t="shared" si="18"/>
        <v>0</v>
      </c>
      <c r="AO33" s="284">
        <f t="shared" si="18"/>
        <v>0</v>
      </c>
      <c r="AP33" s="284">
        <f t="shared" si="18"/>
        <v>0</v>
      </c>
      <c r="AQ33" s="284">
        <f t="shared" si="18"/>
        <v>0</v>
      </c>
      <c r="AR33" s="284">
        <f t="shared" si="18"/>
        <v>0</v>
      </c>
      <c r="AS33" s="284">
        <f t="shared" si="18"/>
        <v>0</v>
      </c>
      <c r="AT33" s="284">
        <f t="shared" si="18"/>
        <v>0</v>
      </c>
      <c r="AU33" s="284">
        <f t="shared" si="18"/>
        <v>0</v>
      </c>
      <c r="AV33" s="284">
        <f t="shared" si="18"/>
        <v>0</v>
      </c>
      <c r="AW33" s="284">
        <f t="shared" si="18"/>
        <v>0</v>
      </c>
      <c r="AX33" s="284">
        <f t="shared" si="18"/>
        <v>0</v>
      </c>
      <c r="AY33" s="284">
        <f t="shared" si="18"/>
        <v>0</v>
      </c>
      <c r="AZ33" s="284">
        <f t="shared" si="18"/>
        <v>0</v>
      </c>
      <c r="BA33" s="284">
        <f t="shared" si="18"/>
        <v>0</v>
      </c>
      <c r="BB33" s="284">
        <f t="shared" si="18"/>
        <v>0</v>
      </c>
      <c r="BC33" s="284">
        <f t="shared" si="18"/>
        <v>0</v>
      </c>
      <c r="BD33" s="284">
        <f>SUM(T33:BC33)</f>
        <v>0</v>
      </c>
      <c r="BE33" s="284">
        <f>AZ33/25</f>
        <v>0</v>
      </c>
      <c r="BF33" s="644"/>
      <c r="BG33" s="644"/>
      <c r="BH33" s="644"/>
      <c r="BI33" s="644"/>
      <c r="BJ33" s="644"/>
      <c r="BK33" s="644"/>
      <c r="BL33" s="644"/>
    </row>
    <row r="34" spans="1:64" ht="33" customHeight="1">
      <c r="A34" s="851"/>
      <c r="B34" s="847"/>
      <c r="C34" s="887"/>
      <c r="D34" s="835"/>
      <c r="E34" s="655"/>
      <c r="F34" s="836"/>
      <c r="G34" s="836"/>
      <c r="H34" s="836"/>
      <c r="I34" s="854"/>
      <c r="J34" s="496"/>
      <c r="K34" s="297" t="s">
        <v>362</v>
      </c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442"/>
      <c r="X34" s="442"/>
      <c r="Y34" s="442"/>
      <c r="Z34" s="442"/>
      <c r="AA34" s="442"/>
      <c r="AB34" s="442"/>
      <c r="AC34" s="442"/>
      <c r="AD34" s="442"/>
      <c r="AE34" s="442"/>
      <c r="AF34" s="442"/>
      <c r="AG34" s="442"/>
      <c r="AH34" s="442"/>
      <c r="AI34" s="442"/>
      <c r="AJ34" s="442"/>
      <c r="AK34" s="442"/>
      <c r="AL34" s="442"/>
      <c r="AM34" s="442"/>
      <c r="AN34" s="442"/>
      <c r="AO34" s="442"/>
      <c r="AP34" s="442"/>
      <c r="AQ34" s="442"/>
      <c r="AR34" s="442"/>
      <c r="AS34" s="442"/>
      <c r="AT34" s="442"/>
      <c r="AU34" s="442"/>
      <c r="AV34" s="442"/>
      <c r="AW34" s="442"/>
      <c r="AX34" s="442"/>
      <c r="AY34" s="442"/>
      <c r="AZ34" s="442"/>
      <c r="BA34" s="442"/>
      <c r="BB34" s="442"/>
      <c r="BC34" s="442"/>
      <c r="BD34" s="442"/>
      <c r="BE34" s="284"/>
      <c r="BF34" s="644"/>
      <c r="BG34" s="644"/>
      <c r="BH34" s="644"/>
      <c r="BI34" s="644"/>
      <c r="BJ34" s="644"/>
      <c r="BK34" s="644"/>
      <c r="BL34" s="644"/>
    </row>
    <row r="35" spans="1:64" ht="37.5" customHeight="1">
      <c r="A35" s="851"/>
      <c r="B35" s="847">
        <v>16</v>
      </c>
      <c r="C35" s="884"/>
      <c r="D35" s="835"/>
      <c r="E35" s="655"/>
      <c r="F35" s="836"/>
      <c r="G35" s="836"/>
      <c r="H35" s="836"/>
      <c r="I35" s="853"/>
      <c r="J35" s="498">
        <f>BD35</f>
        <v>0</v>
      </c>
      <c r="K35" s="351" t="s">
        <v>361</v>
      </c>
      <c r="L35" s="444"/>
      <c r="M35" s="444"/>
      <c r="N35" s="444"/>
      <c r="O35" s="444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84">
        <f>E35/48</f>
        <v>0</v>
      </c>
      <c r="AS35" s="284">
        <f>AR35</f>
        <v>0</v>
      </c>
      <c r="AT35" s="284">
        <f t="shared" ref="AT35:BC35" si="19">AS35</f>
        <v>0</v>
      </c>
      <c r="AU35" s="284">
        <f t="shared" si="19"/>
        <v>0</v>
      </c>
      <c r="AV35" s="284">
        <f t="shared" si="19"/>
        <v>0</v>
      </c>
      <c r="AW35" s="284">
        <f t="shared" si="19"/>
        <v>0</v>
      </c>
      <c r="AX35" s="284">
        <f t="shared" si="19"/>
        <v>0</v>
      </c>
      <c r="AY35" s="284">
        <f t="shared" si="19"/>
        <v>0</v>
      </c>
      <c r="AZ35" s="284">
        <f t="shared" si="19"/>
        <v>0</v>
      </c>
      <c r="BA35" s="284">
        <f t="shared" si="19"/>
        <v>0</v>
      </c>
      <c r="BB35" s="284">
        <f t="shared" si="19"/>
        <v>0</v>
      </c>
      <c r="BC35" s="284">
        <f t="shared" si="19"/>
        <v>0</v>
      </c>
      <c r="BD35" s="284">
        <f>SUM(AR35:BC35)</f>
        <v>0</v>
      </c>
      <c r="BE35" s="284">
        <f>AZ35/25</f>
        <v>0</v>
      </c>
      <c r="BF35" s="644"/>
      <c r="BG35" s="644"/>
      <c r="BH35" s="644"/>
      <c r="BI35" s="644"/>
      <c r="BJ35" s="644"/>
      <c r="BK35" s="644"/>
      <c r="BL35" s="644"/>
    </row>
    <row r="36" spans="1:64" ht="37.5" customHeight="1">
      <c r="A36" s="851"/>
      <c r="B36" s="847"/>
      <c r="C36" s="884"/>
      <c r="D36" s="835"/>
      <c r="E36" s="655"/>
      <c r="F36" s="836"/>
      <c r="G36" s="836"/>
      <c r="H36" s="836"/>
      <c r="I36" s="854"/>
      <c r="J36" s="496"/>
      <c r="K36" s="297" t="s">
        <v>362</v>
      </c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442"/>
      <c r="AS36" s="442"/>
      <c r="AT36" s="442"/>
      <c r="AU36" s="442"/>
      <c r="AV36" s="442"/>
      <c r="AW36" s="442"/>
      <c r="AX36" s="442"/>
      <c r="AY36" s="442"/>
      <c r="AZ36" s="442"/>
      <c r="BA36" s="442"/>
      <c r="BB36" s="442"/>
      <c r="BC36" s="442"/>
      <c r="BD36" s="650">
        <f>SUM(U36:BC36)</f>
        <v>0</v>
      </c>
      <c r="BE36" s="284"/>
      <c r="BF36" s="644"/>
      <c r="BG36" s="644"/>
      <c r="BH36" s="644"/>
      <c r="BI36" s="644"/>
      <c r="BJ36" s="644"/>
      <c r="BK36" s="644"/>
      <c r="BL36" s="644"/>
    </row>
    <row r="37" spans="1:64" ht="37.5" customHeight="1">
      <c r="A37" s="851"/>
      <c r="B37" s="847">
        <v>17</v>
      </c>
      <c r="C37" s="884"/>
      <c r="D37" s="835"/>
      <c r="E37" s="655"/>
      <c r="F37" s="836"/>
      <c r="G37" s="836"/>
      <c r="H37" s="836"/>
      <c r="I37" s="853"/>
      <c r="J37" s="498">
        <f>BD37</f>
        <v>0</v>
      </c>
      <c r="K37" s="351" t="s">
        <v>361</v>
      </c>
      <c r="L37" s="444"/>
      <c r="M37" s="444"/>
      <c r="N37" s="444"/>
      <c r="O37" s="444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84">
        <f>E37/48</f>
        <v>0</v>
      </c>
      <c r="AS37" s="284">
        <f>AR37</f>
        <v>0</v>
      </c>
      <c r="AT37" s="284">
        <f t="shared" ref="AT37:BC37" si="20">AS37</f>
        <v>0</v>
      </c>
      <c r="AU37" s="284">
        <f t="shared" si="20"/>
        <v>0</v>
      </c>
      <c r="AV37" s="284">
        <f t="shared" si="20"/>
        <v>0</v>
      </c>
      <c r="AW37" s="284">
        <f t="shared" si="20"/>
        <v>0</v>
      </c>
      <c r="AX37" s="284">
        <f t="shared" si="20"/>
        <v>0</v>
      </c>
      <c r="AY37" s="284">
        <f t="shared" si="20"/>
        <v>0</v>
      </c>
      <c r="AZ37" s="284">
        <f t="shared" si="20"/>
        <v>0</v>
      </c>
      <c r="BA37" s="284">
        <f t="shared" si="20"/>
        <v>0</v>
      </c>
      <c r="BB37" s="284">
        <f t="shared" si="20"/>
        <v>0</v>
      </c>
      <c r="BC37" s="284">
        <f t="shared" si="20"/>
        <v>0</v>
      </c>
      <c r="BD37" s="284">
        <f>SUM(AR37:BC37)</f>
        <v>0</v>
      </c>
      <c r="BE37" s="284">
        <f>AZ37/25</f>
        <v>0</v>
      </c>
      <c r="BF37" s="644"/>
      <c r="BG37" s="644"/>
      <c r="BH37" s="644"/>
      <c r="BI37" s="644"/>
      <c r="BJ37" s="644"/>
      <c r="BK37" s="644"/>
      <c r="BL37" s="644"/>
    </row>
    <row r="38" spans="1:64" ht="37.5" customHeight="1">
      <c r="A38" s="851"/>
      <c r="B38" s="847"/>
      <c r="C38" s="884"/>
      <c r="D38" s="835"/>
      <c r="E38" s="655"/>
      <c r="F38" s="836"/>
      <c r="G38" s="836"/>
      <c r="H38" s="836"/>
      <c r="I38" s="854"/>
      <c r="J38" s="496"/>
      <c r="K38" s="297" t="s">
        <v>362</v>
      </c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442"/>
      <c r="AS38" s="442"/>
      <c r="AT38" s="442"/>
      <c r="AU38" s="442"/>
      <c r="AV38" s="442"/>
      <c r="AW38" s="442"/>
      <c r="AX38" s="442"/>
      <c r="AY38" s="442"/>
      <c r="AZ38" s="442"/>
      <c r="BA38" s="442"/>
      <c r="BB38" s="442"/>
      <c r="BC38" s="442"/>
      <c r="BD38" s="650">
        <f>SUM(U38:BC38)</f>
        <v>0</v>
      </c>
      <c r="BE38" s="284"/>
      <c r="BF38" s="644"/>
      <c r="BG38" s="644"/>
      <c r="BH38" s="644"/>
      <c r="BI38" s="644"/>
      <c r="BJ38" s="644"/>
      <c r="BK38" s="644"/>
      <c r="BL38" s="644"/>
    </row>
    <row r="39" spans="1:64" ht="37.5" customHeight="1">
      <c r="A39" s="851"/>
      <c r="B39" s="828">
        <v>18</v>
      </c>
      <c r="C39" s="845"/>
      <c r="D39" s="830"/>
      <c r="E39" s="655"/>
      <c r="F39" s="832"/>
      <c r="G39" s="833"/>
      <c r="H39" s="834"/>
      <c r="I39" s="885"/>
      <c r="J39" s="498">
        <f>BD39</f>
        <v>0</v>
      </c>
      <c r="K39" s="351" t="s">
        <v>361</v>
      </c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657">
        <f>E39/48</f>
        <v>0</v>
      </c>
      <c r="AI39" s="657">
        <f>AH39</f>
        <v>0</v>
      </c>
      <c r="AJ39" s="657">
        <f t="shared" ref="AJ39:BC39" si="21">AI39</f>
        <v>0</v>
      </c>
      <c r="AK39" s="657">
        <f t="shared" si="21"/>
        <v>0</v>
      </c>
      <c r="AL39" s="657">
        <f t="shared" si="21"/>
        <v>0</v>
      </c>
      <c r="AM39" s="657">
        <f t="shared" si="21"/>
        <v>0</v>
      </c>
      <c r="AN39" s="657">
        <f t="shared" si="21"/>
        <v>0</v>
      </c>
      <c r="AO39" s="657">
        <f t="shared" si="21"/>
        <v>0</v>
      </c>
      <c r="AP39" s="657">
        <f t="shared" si="21"/>
        <v>0</v>
      </c>
      <c r="AQ39" s="657">
        <f t="shared" si="21"/>
        <v>0</v>
      </c>
      <c r="AR39" s="657">
        <f t="shared" si="21"/>
        <v>0</v>
      </c>
      <c r="AS39" s="657">
        <f t="shared" si="21"/>
        <v>0</v>
      </c>
      <c r="AT39" s="657">
        <f t="shared" si="21"/>
        <v>0</v>
      </c>
      <c r="AU39" s="657">
        <f t="shared" si="21"/>
        <v>0</v>
      </c>
      <c r="AV39" s="657">
        <f t="shared" si="21"/>
        <v>0</v>
      </c>
      <c r="AW39" s="657">
        <f t="shared" si="21"/>
        <v>0</v>
      </c>
      <c r="AX39" s="657">
        <f t="shared" si="21"/>
        <v>0</v>
      </c>
      <c r="AY39" s="657">
        <f t="shared" si="21"/>
        <v>0</v>
      </c>
      <c r="AZ39" s="657">
        <f t="shared" si="21"/>
        <v>0</v>
      </c>
      <c r="BA39" s="657">
        <f t="shared" si="21"/>
        <v>0</v>
      </c>
      <c r="BB39" s="657">
        <f t="shared" si="21"/>
        <v>0</v>
      </c>
      <c r="BC39" s="657">
        <f t="shared" si="21"/>
        <v>0</v>
      </c>
      <c r="BD39" s="284">
        <f>SUM(AR39:BC39)</f>
        <v>0</v>
      </c>
      <c r="BE39" s="284"/>
      <c r="BF39" s="644"/>
      <c r="BG39" s="644"/>
      <c r="BH39" s="644"/>
      <c r="BI39" s="644"/>
      <c r="BJ39" s="644"/>
      <c r="BK39" s="644"/>
      <c r="BL39" s="644"/>
    </row>
    <row r="40" spans="1:64" ht="37.5" customHeight="1">
      <c r="A40" s="851"/>
      <c r="B40" s="829"/>
      <c r="C40" s="846"/>
      <c r="D40" s="831"/>
      <c r="E40" s="655"/>
      <c r="F40" s="836"/>
      <c r="G40" s="836"/>
      <c r="H40" s="836"/>
      <c r="I40" s="886"/>
      <c r="J40" s="496"/>
      <c r="K40" s="297" t="s">
        <v>362</v>
      </c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442"/>
      <c r="AI40" s="442"/>
      <c r="AJ40" s="442"/>
      <c r="AK40" s="442"/>
      <c r="AL40" s="442"/>
      <c r="AM40" s="442"/>
      <c r="AN40" s="442"/>
      <c r="AO40" s="442"/>
      <c r="AP40" s="442"/>
      <c r="AQ40" s="442"/>
      <c r="AR40" s="442"/>
      <c r="AS40" s="442"/>
      <c r="AT40" s="442"/>
      <c r="AU40" s="442"/>
      <c r="AV40" s="442"/>
      <c r="AW40" s="442"/>
      <c r="AX40" s="442"/>
      <c r="AY40" s="442"/>
      <c r="AZ40" s="442"/>
      <c r="BA40" s="442"/>
      <c r="BB40" s="442"/>
      <c r="BC40" s="442"/>
      <c r="BD40" s="650">
        <f>SUM(U40:BC40)</f>
        <v>0</v>
      </c>
      <c r="BE40" s="284"/>
      <c r="BF40" s="644"/>
      <c r="BG40" s="644"/>
      <c r="BH40" s="644"/>
      <c r="BI40" s="644"/>
      <c r="BJ40" s="644"/>
      <c r="BK40" s="644"/>
      <c r="BL40" s="644"/>
    </row>
    <row r="41" spans="1:64" ht="37.5" customHeight="1">
      <c r="A41" s="851"/>
      <c r="B41" s="828">
        <v>19</v>
      </c>
      <c r="C41" s="845"/>
      <c r="D41" s="830"/>
      <c r="E41" s="655"/>
      <c r="F41" s="832"/>
      <c r="G41" s="833"/>
      <c r="H41" s="834"/>
      <c r="I41" s="640"/>
      <c r="J41" s="498">
        <f>BD41</f>
        <v>0</v>
      </c>
      <c r="K41" s="351" t="s">
        <v>361</v>
      </c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657">
        <f>E41/48</f>
        <v>0</v>
      </c>
      <c r="AO41" s="657">
        <f>AN41</f>
        <v>0</v>
      </c>
      <c r="AP41" s="657">
        <f t="shared" ref="AP41:BC41" si="22">AO41</f>
        <v>0</v>
      </c>
      <c r="AQ41" s="657">
        <f t="shared" si="22"/>
        <v>0</v>
      </c>
      <c r="AR41" s="657">
        <f t="shared" si="22"/>
        <v>0</v>
      </c>
      <c r="AS41" s="657">
        <f t="shared" si="22"/>
        <v>0</v>
      </c>
      <c r="AT41" s="657">
        <f t="shared" si="22"/>
        <v>0</v>
      </c>
      <c r="AU41" s="657">
        <f t="shared" si="22"/>
        <v>0</v>
      </c>
      <c r="AV41" s="657">
        <f t="shared" si="22"/>
        <v>0</v>
      </c>
      <c r="AW41" s="657">
        <f t="shared" si="22"/>
        <v>0</v>
      </c>
      <c r="AX41" s="657">
        <f t="shared" si="22"/>
        <v>0</v>
      </c>
      <c r="AY41" s="657">
        <f t="shared" si="22"/>
        <v>0</v>
      </c>
      <c r="AZ41" s="657">
        <f t="shared" si="22"/>
        <v>0</v>
      </c>
      <c r="BA41" s="657">
        <f t="shared" si="22"/>
        <v>0</v>
      </c>
      <c r="BB41" s="657">
        <f t="shared" si="22"/>
        <v>0</v>
      </c>
      <c r="BC41" s="657">
        <f t="shared" si="22"/>
        <v>0</v>
      </c>
      <c r="BD41" s="284">
        <f>SUM(AR41:BC41)</f>
        <v>0</v>
      </c>
      <c r="BE41" s="284"/>
      <c r="BF41" s="644"/>
      <c r="BG41" s="644"/>
      <c r="BH41" s="644"/>
      <c r="BI41" s="644"/>
      <c r="BJ41" s="644"/>
      <c r="BK41" s="644"/>
      <c r="BL41" s="644"/>
    </row>
    <row r="42" spans="1:64" ht="37.5" customHeight="1">
      <c r="A42" s="851"/>
      <c r="B42" s="829"/>
      <c r="C42" s="846"/>
      <c r="D42" s="831"/>
      <c r="E42" s="655"/>
      <c r="F42" s="836"/>
      <c r="G42" s="836"/>
      <c r="H42" s="836"/>
      <c r="I42" s="640"/>
      <c r="J42" s="496"/>
      <c r="K42" s="297" t="s">
        <v>362</v>
      </c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442"/>
      <c r="AO42" s="442"/>
      <c r="AP42" s="442"/>
      <c r="AQ42" s="442"/>
      <c r="AR42" s="442"/>
      <c r="AS42" s="442"/>
      <c r="AT42" s="442"/>
      <c r="AU42" s="442"/>
      <c r="AV42" s="442"/>
      <c r="AW42" s="442"/>
      <c r="AX42" s="442"/>
      <c r="AY42" s="442"/>
      <c r="AZ42" s="442"/>
      <c r="BA42" s="442"/>
      <c r="BB42" s="442"/>
      <c r="BC42" s="442"/>
      <c r="BD42" s="650">
        <f>SUM(U42:BC42)</f>
        <v>0</v>
      </c>
      <c r="BE42" s="284"/>
      <c r="BF42" s="644"/>
      <c r="BG42" s="644"/>
      <c r="BH42" s="644"/>
      <c r="BI42" s="644"/>
      <c r="BJ42" s="644"/>
      <c r="BK42" s="644"/>
      <c r="BL42" s="644"/>
    </row>
    <row r="43" spans="1:64" ht="37.5" customHeight="1">
      <c r="A43" s="851"/>
      <c r="B43" s="828">
        <v>20</v>
      </c>
      <c r="C43" s="845"/>
      <c r="D43" s="830"/>
      <c r="E43" s="655"/>
      <c r="F43" s="832"/>
      <c r="G43" s="833"/>
      <c r="H43" s="834"/>
      <c r="I43" s="640"/>
      <c r="J43" s="498">
        <f>BD43</f>
        <v>0</v>
      </c>
      <c r="K43" s="351" t="s">
        <v>361</v>
      </c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657"/>
      <c r="AK43" s="657"/>
      <c r="AL43" s="657"/>
      <c r="AM43" s="657"/>
      <c r="AN43" s="657"/>
      <c r="AO43" s="657"/>
      <c r="AP43" s="657"/>
      <c r="AQ43" s="657"/>
      <c r="AR43" s="657"/>
      <c r="AS43" s="657"/>
      <c r="AT43" s="657"/>
      <c r="AU43" s="657"/>
      <c r="AV43" s="657">
        <f>E43/48</f>
        <v>0</v>
      </c>
      <c r="AW43" s="657">
        <f t="shared" ref="AW43:BC43" si="23">AV43</f>
        <v>0</v>
      </c>
      <c r="AX43" s="657">
        <f t="shared" si="23"/>
        <v>0</v>
      </c>
      <c r="AY43" s="657">
        <f t="shared" si="23"/>
        <v>0</v>
      </c>
      <c r="AZ43" s="657">
        <f t="shared" si="23"/>
        <v>0</v>
      </c>
      <c r="BA43" s="657">
        <f t="shared" si="23"/>
        <v>0</v>
      </c>
      <c r="BB43" s="657">
        <f t="shared" si="23"/>
        <v>0</v>
      </c>
      <c r="BC43" s="657">
        <f t="shared" si="23"/>
        <v>0</v>
      </c>
      <c r="BD43" s="284">
        <f>SUM(AR43:BC43)</f>
        <v>0</v>
      </c>
      <c r="BE43" s="284"/>
      <c r="BF43" s="644"/>
      <c r="BG43" s="644"/>
      <c r="BH43" s="644"/>
      <c r="BI43" s="644"/>
      <c r="BJ43" s="644"/>
      <c r="BK43" s="644"/>
      <c r="BL43" s="644"/>
    </row>
    <row r="44" spans="1:64" ht="37.5" customHeight="1">
      <c r="A44" s="851"/>
      <c r="B44" s="829"/>
      <c r="C44" s="846"/>
      <c r="D44" s="831"/>
      <c r="E44" s="655"/>
      <c r="F44" s="836"/>
      <c r="G44" s="836"/>
      <c r="H44" s="836"/>
      <c r="I44" s="640"/>
      <c r="J44" s="496"/>
      <c r="K44" s="297" t="s">
        <v>362</v>
      </c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442"/>
      <c r="AS44" s="442"/>
      <c r="AT44" s="442"/>
      <c r="AU44" s="442"/>
      <c r="AV44" s="442"/>
      <c r="AW44" s="442"/>
      <c r="AX44" s="442"/>
      <c r="AY44" s="442"/>
      <c r="AZ44" s="442"/>
      <c r="BA44" s="442"/>
      <c r="BB44" s="442"/>
      <c r="BC44" s="442"/>
      <c r="BD44" s="650">
        <f>SUM(U44:BC44)</f>
        <v>0</v>
      </c>
      <c r="BE44" s="284"/>
      <c r="BF44" s="644"/>
      <c r="BG44" s="644"/>
      <c r="BH44" s="644"/>
      <c r="BI44" s="644"/>
      <c r="BJ44" s="644"/>
      <c r="BK44" s="644"/>
      <c r="BL44" s="644"/>
    </row>
    <row r="45" spans="1:64" ht="37.5" customHeight="1">
      <c r="A45" s="851"/>
      <c r="B45" s="828">
        <v>21</v>
      </c>
      <c r="C45" s="845"/>
      <c r="D45" s="830"/>
      <c r="E45" s="655"/>
      <c r="F45" s="832"/>
      <c r="G45" s="833"/>
      <c r="H45" s="834"/>
      <c r="I45" s="640"/>
      <c r="J45" s="498">
        <f>BD45</f>
        <v>0</v>
      </c>
      <c r="K45" s="351" t="s">
        <v>361</v>
      </c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657"/>
      <c r="AK45" s="657"/>
      <c r="AL45" s="657"/>
      <c r="AM45" s="657"/>
      <c r="AN45" s="657"/>
      <c r="AO45" s="657"/>
      <c r="AP45" s="657"/>
      <c r="AQ45" s="657"/>
      <c r="AR45" s="657"/>
      <c r="AS45" s="657"/>
      <c r="AT45" s="657"/>
      <c r="AU45" s="657"/>
      <c r="AV45" s="657">
        <f>E45/48</f>
        <v>0</v>
      </c>
      <c r="AW45" s="657">
        <f t="shared" ref="AW45:BC45" si="24">AV45</f>
        <v>0</v>
      </c>
      <c r="AX45" s="657">
        <f t="shared" si="24"/>
        <v>0</v>
      </c>
      <c r="AY45" s="657">
        <f t="shared" si="24"/>
        <v>0</v>
      </c>
      <c r="AZ45" s="657">
        <f t="shared" si="24"/>
        <v>0</v>
      </c>
      <c r="BA45" s="657">
        <f t="shared" si="24"/>
        <v>0</v>
      </c>
      <c r="BB45" s="657">
        <f t="shared" si="24"/>
        <v>0</v>
      </c>
      <c r="BC45" s="657">
        <f t="shared" si="24"/>
        <v>0</v>
      </c>
      <c r="BD45" s="284">
        <f>SUM(AR45:BC45)</f>
        <v>0</v>
      </c>
      <c r="BE45" s="284"/>
      <c r="BF45" s="644"/>
      <c r="BG45" s="644"/>
      <c r="BH45" s="644"/>
      <c r="BI45" s="644"/>
      <c r="BJ45" s="644"/>
      <c r="BK45" s="644"/>
      <c r="BL45" s="644"/>
    </row>
    <row r="46" spans="1:64" ht="37.5" customHeight="1">
      <c r="A46" s="852"/>
      <c r="B46" s="829"/>
      <c r="C46" s="846"/>
      <c r="D46" s="831"/>
      <c r="E46" s="655"/>
      <c r="F46" s="836"/>
      <c r="G46" s="836"/>
      <c r="H46" s="836"/>
      <c r="I46" s="640"/>
      <c r="J46" s="496"/>
      <c r="K46" s="297" t="s">
        <v>362</v>
      </c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442"/>
      <c r="AS46" s="442"/>
      <c r="AT46" s="442"/>
      <c r="AU46" s="442"/>
      <c r="AV46" s="442"/>
      <c r="AW46" s="442"/>
      <c r="AX46" s="442"/>
      <c r="AY46" s="442"/>
      <c r="AZ46" s="442"/>
      <c r="BA46" s="442"/>
      <c r="BB46" s="442"/>
      <c r="BC46" s="442"/>
      <c r="BD46" s="650">
        <f>SUM(U46:BC46)</f>
        <v>0</v>
      </c>
      <c r="BE46" s="284"/>
      <c r="BF46" s="644"/>
      <c r="BG46" s="644"/>
      <c r="BH46" s="644"/>
      <c r="BI46" s="644"/>
      <c r="BJ46" s="644"/>
      <c r="BK46" s="644"/>
      <c r="BL46" s="644"/>
    </row>
    <row r="47" spans="1:64" ht="38.25" customHeight="1">
      <c r="A47" s="896" t="s">
        <v>535</v>
      </c>
      <c r="B47" s="897"/>
      <c r="C47" s="897"/>
      <c r="D47" s="897"/>
      <c r="E47" s="897"/>
      <c r="F47" s="897"/>
      <c r="G47" s="897"/>
      <c r="H47" s="897"/>
      <c r="I47" s="897"/>
      <c r="J47" s="898"/>
      <c r="K47" s="351" t="s">
        <v>361</v>
      </c>
      <c r="L47" s="825">
        <f>L5+M5+N5+O5+L7+M7+N7+O7+L9+M9+N9+O9+L11+M11+N11+O11+L13+M13+N13+O13+L15+M15+N15+O15+L17+M17+N17+O17+L19+M19+N19+O19+L21+M21+N21+O21+L23+M23+N23+O23+L25+M25+N25+O25+L27+M27+N27+O27+L29+M29+N29+O29+L31+M31+N31+O31+L33+M33+N33+O33+L35+M35+N35+O35+L37+M37+N37+O37</f>
        <v>0</v>
      </c>
      <c r="M47" s="826"/>
      <c r="N47" s="826"/>
      <c r="O47" s="827"/>
      <c r="P47" s="825">
        <f>P5+Q5+R5+S5+P7+Q7+R7+S7+P9+Q9+R9+S9+P11+Q11+R11+S11+P13+Q13+R13+S13+P15+Q15+R15+S15+P17+Q17+R17+S17+P19+Q19+R19+S19+P21+Q21+R21+S21+P23+Q23+R23+S23+P25+Q25+R25+S25+P27+Q27+R27+S27+P29+Q29+R29+S29+P31+Q31+R31+S31+P33+Q33+R33+S33+P35+Q35+R35+S35+P37+Q37+R37+S37</f>
        <v>0</v>
      </c>
      <c r="Q47" s="826"/>
      <c r="R47" s="826"/>
      <c r="S47" s="827"/>
      <c r="T47" s="825">
        <f>T5+U5+V5+W5+T7+U7+V7+W7+T9+U9+V9+W9+T11+U11+V11+W11+T13+U13+V13+W13+T15+U15+V15+W15+T17+U17+V17+W17+T19+U19+V19+W19+T21+U21+V21+W21+T23+U23+V23+W23+T25+U25+V25+W25+T27+U27+V27+W27+T29+U29+V29+W29+T31+U31+V31+W31+T33+U33+V33+W33+T35+U35+V35+W35+T37+U37+V37+W37</f>
        <v>0</v>
      </c>
      <c r="U47" s="826"/>
      <c r="V47" s="826"/>
      <c r="W47" s="827"/>
      <c r="X47" s="825">
        <f>X5+Y5+Z5+AA5+X7+Y7+Z7+AA7+X9+Y9+Z9+AA9+X11+Y11+Z11+AA11+X13+Y13+Z13+AA13+X15+Y15+Z15+AA15+X17+Y17+Z17+AA17+X19+Y19+Z19+AA19+X21+Y21+Z21+AA21+X23+Y23+Z23+AA23+X25+Y25+Z25+AA25+X27+Y27+Z27+AA27+X29+Y29+Z29+AA29+X31+Y31+Z31+AA31+X33+Y33+Z33+AA33+X35+Y35+Z35+AA35+X37+Y37+Z37+AA37</f>
        <v>0</v>
      </c>
      <c r="Y47" s="826"/>
      <c r="Z47" s="826"/>
      <c r="AA47" s="827"/>
      <c r="AB47" s="825">
        <f>AB5+AC5+AD5+AE5+AB7+AC7+AD7+AE7+AB9+AC9+AD9+AE9+AB11+AC11+AD11+AE11+AB13+AC13+AD13+AE13+AB15+AC15+AD15+AE15+AB17+AC17+AD17+AE17+AB19+AC19+AD19+AE19+AB21+AC21+AD21+AE21+AB23+AC23+AD23+AE23+AB25+AC25+AD25+AE25+AB27+AC27+AD27+AE27+AB29+AC29+AD29+AE29+AB31+AC31+AD31+AE31+AB33+AC33+AD33+AE33+AB35+AC35+AD35+AE35+AB37+AC37+AD37+AE37</f>
        <v>0</v>
      </c>
      <c r="AC47" s="826"/>
      <c r="AD47" s="826"/>
      <c r="AE47" s="827"/>
      <c r="AF47" s="825">
        <f>AF5+AG5+AH5+AI5+AF7+AG7+AH7+AI7+AF9+AG9+AH9+AI9+AF11+AG11+AH11+AI11+AF13+AG13+AH13+AI13+AF15+AG15+AH15+AI15+AF17+AG17+AH17+AI17+AF19+AG19+AH19+AI19+AF21+AG21+AH21+AI21+AF23+AG23+AH23+AI23+AF25+AG25+AH25+AI25+AF27+AG27+AH27+AI27+AF29+AG29+AH29+AI29+AF31+AG31+AH31+AI31+AF33+AG33+AH33+AI33+AF35+AG35+AH35+AI35+AF37+AG37+AH37+AI37</f>
        <v>0</v>
      </c>
      <c r="AG47" s="826"/>
      <c r="AH47" s="826"/>
      <c r="AI47" s="827"/>
      <c r="AJ47" s="825">
        <f>AJ5+AK5+AL5+AM5+AJ7+AK7+AL7+AM7+AJ9+AK9+AL9+AM9+AJ11+AK11+AL11+AM11+AJ13+AK13+AL13+AM13+AJ15+AK15+AL15+AM15+AJ17+AK17+AL17+AM17+AJ19+AK19+AL19+AM19+AJ21+AK21+AL21+AM21+AJ23+AK23+AL23+AM23+AJ25+AK25+AL25+AM25+AJ27+AK27+AL27+AM27+AJ29+AK29+AL29+AM29+AJ31+AK31+AL31+AM31+AJ33+AK33+AL33+AM33+AJ35+AK35+AL35+AM35+AJ37+AK37+AL37+AM37</f>
        <v>0</v>
      </c>
      <c r="AK47" s="826"/>
      <c r="AL47" s="826"/>
      <c r="AM47" s="827"/>
      <c r="AN47" s="825">
        <f>AN5+AO5+AP5+AQ5+AN7+AO7+AP7+AQ7+AN9+AO9+AP9+AQ9+AN11+AO11+AP11+AQ11+AN13+AO13+AP13+AQ13+AN15+AO15+AP15+AQ15+AN17+AO17+AP17+AQ17+AN19+AO19+AP19+AQ19+AN21+AO21+AP21+AQ21+AN23+AO23+AP23+AQ23+AN25+AO25+AP25+AQ25+AN27+AO27+AP27+AQ27+AN29+AO29+AP29+AQ29+AN31+AO31+AP31+AQ31+AN33+AO33+AP33+AQ33+AN35+AO35+AP35+AQ35+AN37+AO37+AP37+AQ37</f>
        <v>0</v>
      </c>
      <c r="AO47" s="826"/>
      <c r="AP47" s="826"/>
      <c r="AQ47" s="827"/>
      <c r="AR47" s="825">
        <f>AR5+AS5+AT5+AU5+AR7+AS7+AT7+AU7+AR9+AS9+AT9+AU9+AR11+AS11+AT11+AU11+AR13+AS13+AT13+AU13+AR15+AS15+AT15+AU15+AR17+AS17+AT17+AU17+AR19+AS19+AT19+AU19+AR21+AS21+AT21+AU21+AR23+AS23+AT23+AU23+AR25+AS25+AT25+AU25+AR27+AS27+AT27+AU27+AR29+AS29+AT29+AU29+AR31+AS31+AT31+AU31+AR33+AS33+AT33+AU33+AR35+AS35+AT35+AU35+AR37+AS37+AT37+AU37</f>
        <v>0</v>
      </c>
      <c r="AS47" s="826"/>
      <c r="AT47" s="826"/>
      <c r="AU47" s="827"/>
      <c r="AV47" s="825">
        <f>AV5+AW5+AX5+AY5+AV7+AW7+AX7+AY7+AV9+AW9+AX9+AY9+AV11+AW11+AX11+AY11+AV13+AW13+AX13+AY13+AV15+AW15+AX15+AY15+AV17+AW17+AX17+AY17+AV19+AW19+AX19+AY19+AV21+AW21+AX21+AY21+AV23+AW23+AX23+AY23+AV25+AW25+AX25+AY25+AV27+AW27+AX27+AY27+AV29+AW29+AX29+AY29+AV31+AW31+AX31+AY31+AV33+AW33+AX33+AY33+AV35+AW35+AX35+AY35+AV37+AW37+AX37+AY37</f>
        <v>0</v>
      </c>
      <c r="AW47" s="826"/>
      <c r="AX47" s="826"/>
      <c r="AY47" s="827"/>
      <c r="AZ47" s="825">
        <f>AZ5+BA5+BB5+BC5+AZ7+BA7+BB7+BC7+AZ9+BA9+BB9+BC9+AZ11+BA11+BB11+BC11+AZ13+BA13+BB13+BC13+AZ15+BA15+BB15+BC15+AZ17+BA17+BB17+BC17+AZ19+BA19+BB19+BC19+AZ21+BA21+BB21+BC21+AZ23+BA23+BB23+BC23+AZ25+BA25+BB25+BC25+AZ27+BA27+BB27+BC27+AZ29+BA29+BB29+BC29+AZ31+BA31+BB31+BC31+AZ33+BA33+BB33+BC33+AZ35+BA35+BB35+BC35+AZ37+BA37+BB37+BC37</f>
        <v>0</v>
      </c>
      <c r="BA47" s="826"/>
      <c r="BB47" s="826"/>
      <c r="BC47" s="827"/>
      <c r="BD47" s="658">
        <f>SUM(L47:BC47)</f>
        <v>0</v>
      </c>
      <c r="BE47" s="284"/>
      <c r="BF47" s="644"/>
      <c r="BG47" s="644"/>
      <c r="BH47" s="644"/>
      <c r="BI47" s="644"/>
      <c r="BJ47" s="644"/>
      <c r="BK47" s="644"/>
      <c r="BL47" s="644"/>
    </row>
    <row r="48" spans="1:64" ht="38.25" customHeight="1">
      <c r="A48" s="896" t="s">
        <v>536</v>
      </c>
      <c r="B48" s="897"/>
      <c r="C48" s="897"/>
      <c r="D48" s="897"/>
      <c r="E48" s="897"/>
      <c r="F48" s="897"/>
      <c r="G48" s="897"/>
      <c r="H48" s="897"/>
      <c r="I48" s="897"/>
      <c r="J48" s="898"/>
      <c r="K48" s="297" t="s">
        <v>362</v>
      </c>
      <c r="L48" s="825">
        <f>L6+M6+N6+O6+L8+M8+N8+O8+L10+M10+N10+O10+L12+M12+N12+O12+L14+M14+N14+O14+L16+M16+N16+O16+L18+M18+N18+O18+L20+M20+N20+O20+L22+M22+N22+O22+L24+M24+N24+O24+L26+M26+N26+O26+L28+M28+N28+O28+L30+M30+N30+O30+L32+M32+N32+O32+L34+M34+N34+O34+L36+M36+N36+O36+L38+M38+N38+O38</f>
        <v>0</v>
      </c>
      <c r="M48" s="826"/>
      <c r="N48" s="826"/>
      <c r="O48" s="827"/>
      <c r="P48" s="825">
        <f>P6+Q6+R6+S6+P8+Q8+R8+S8+P10+Q10+R10+S10+P12+Q12+R12+S12+P14+Q14+R14+S14+P16+Q16+R16+S16+P18+Q18+R18+S18+P20+Q20+R20+S20+P22+Q22+R22+S22+P24+Q24+R24+S24+P26+Q26+R26+S26+P28+Q28+R28+S28+P30+Q30+R30+S30+P32+Q32+R32+S32+P34+Q34+R34+S34+P36+Q36+R36+S36+P38+Q38+R38+S38</f>
        <v>0</v>
      </c>
      <c r="Q48" s="826"/>
      <c r="R48" s="826"/>
      <c r="S48" s="827"/>
      <c r="T48" s="825">
        <f>T6+U6+V6+W6+T8+U8+V8+W8+T10+U10+V10+W10+T12+U12+V12+W12+T14+U14+V14+W14+T16+U16+V16+W16+T18+U18+V18+W18+T20+U20+V20+W20+T22+U22+V22+W22+T24+U24+V24+W24+T26+U26+V26+W26+T28+U28+V28+W28+T30+U30+V30+W30+T32+U32+V32+W32+T34+U34+V34+W34+T36+U36+V36+W36+T38+U38+V38+W38</f>
        <v>0</v>
      </c>
      <c r="U48" s="826"/>
      <c r="V48" s="826"/>
      <c r="W48" s="827"/>
      <c r="X48" s="825">
        <f>X6+Y6+Z6+AA6+X8+Y8+Z8+AA8+X10+Y10+Z10+AA10+X12+Y12+Z12+AA12+X14+Y14+Z14+AA14+X16+Y16+Z16+AA16+X18+Y18+Z18+AA18+X20+Y20+Z20+AA20+X22+Y22+Z22+AA22+X24+Y24+Z24+AA24+X26+Y26+Z26+AA26+X28+Y28+Z28+AA28+X30+Y30+Z30+AA30+X32+Y32+Z32+AA32+X34+Y34+Z34+AA34+X36+Y36+Z36+AA36+X38+Y38+Z38+AA38</f>
        <v>0</v>
      </c>
      <c r="Y48" s="826"/>
      <c r="Z48" s="826"/>
      <c r="AA48" s="827"/>
      <c r="AB48" s="825">
        <f>AB6+AC6+AD6+AE6+AB8+AC8+AD8+AE8+AB10+AC10+AD10+AE10+AB12+AC12+AD12+AE12+AB14+AC14+AD14+AE14+AB16+AC16+AD16+AE16+AB18+AC18+AD18+AE18+AB20+AC20+AD20+AE20+AB22+AC22+AD22+AE22+AB24+AC24+AD24+AE24+AB26+AC26+AD26+AE26+AB28+AC28+AD28+AE28+AB30+AC30+AD30+AE30+AB32+AC32+AD32+AE32+AB34+AC34+AD34+AE34+AB36+AC36+AD36+AE36+AB38+AC38+AD38+AE38</f>
        <v>0</v>
      </c>
      <c r="AC48" s="826"/>
      <c r="AD48" s="826"/>
      <c r="AE48" s="827"/>
      <c r="AF48" s="825">
        <f>AF6+AG6+AH6+AI6+AF8+AG8+AH8+AI8+AF10+AG10+AH10+AI10+AF12+AG12+AH12+AI12+AF14+AG14+AH14+AI14+AF16+AG16+AH16+AI16+AF18+AG18+AH18+AI18+AF20+AG20+AH20+AI20+AF22+AG22+AH22+AI22+AF24+AG24+AH24+AI24+AF26+AG26+AH26+AI26+AF28+AG28+AH28+AI28+AF30+AG30+AH30+AI30+AF32+AG32+AH32+AI32+AF34+AG34+AH34+AI34+AF36+AG36+AH36+AI36+AF38+AG38+AH38+AI38</f>
        <v>0</v>
      </c>
      <c r="AG48" s="826"/>
      <c r="AH48" s="826"/>
      <c r="AI48" s="827"/>
      <c r="AJ48" s="825">
        <f>AJ6+AK6+AL6+AM6+AJ8+AK8+AL8+AM8+AJ10+AK10+AL10+AM10+AJ12+AK12+AL12+AM12+AJ14+AK14+AL14+AM14+AJ16+AK16+AL16+AM16+AJ18+AK18+AL18+AM18+AJ20+AK20+AL20+AM20+AJ22+AK22+AL22+AM22+AJ24+AK24+AL24+AM24+AJ26+AK26+AL26+AM26+AJ28+AK28+AL28+AM28+AJ30+AK30+AL30+AM30+AJ32+AK32+AL32+AM32+AJ34+AK34+AL34+AM34+AJ36+AK36+AL36+AM36+AJ38+AK38+AL38+AM38</f>
        <v>0</v>
      </c>
      <c r="AK48" s="826"/>
      <c r="AL48" s="826"/>
      <c r="AM48" s="827"/>
      <c r="AN48" s="825">
        <f>AN6+AO6+AP6+AQ6+AN8+AO8+AP8+AQ8+AN10+AO10+AP10+AQ10+AN12+AO12+AP12+AQ12+AN14+AO14+AP14+AQ14+AN16+AO16+AP16+AQ16+AN18+AO18+AP18+AQ18+AN20+AO20+AP20+AQ20+AN22+AO22+AP22+AQ22+AN24+AO24+AP24+AQ24+AN26+AO26+AP26+AQ26+AN28+AO28+AP28+AQ28+AN30+AO30+AP30+AQ30+AN32+AO32+AP32+AQ32+AN34+AO34+AP34+AQ34+AN36+AO36+AP36+AQ36+AN38+AO38+AP38+AQ38</f>
        <v>0</v>
      </c>
      <c r="AO48" s="826"/>
      <c r="AP48" s="826"/>
      <c r="AQ48" s="827"/>
      <c r="AR48" s="825">
        <f>AR6+AS6+AT6+AU6+AR8+AS8+AT8+AU8+AR10+AS10+AT10+AU10+AR12+AS12+AT12+AU12+AR14+AS14+AT14+AU14+AR16+AS16+AT16+AU16+AR18+AS18+AT18+AU18+AR20+AS20+AT20+AU20+AR22+AS22+AT22+AU22+AR24+AS24+AT24+AU24+AR26+AS26+AT26+AU26+AR28+AS28+AT28+AU28+AR30+AS30+AT30+AU30+AR32+AS32+AT32+AU32+AR34+AS34+AT34+AU34+AR36+AS36+AT36+AU36+AR38+AS38+AT38+AU38</f>
        <v>0</v>
      </c>
      <c r="AS48" s="826"/>
      <c r="AT48" s="826"/>
      <c r="AU48" s="827"/>
      <c r="AV48" s="825">
        <f>AV6+AW6+AX6+AY6+AV8+AW8+AX8+AY8+AV10+AW10+AX10+AY10+AV12+AW12+AX12+AY12+AV14+AW14+AX14+AY14+AV16+AW16+AX16+AY16+AV18+AW18+AX18+AY18+AV20+AW20+AX20+AY20+AV22+AW22+AX22+AY22+AV24+AW24+AX24+AY24+AV26+AW26+AX26+AY26+AV28+AW28+AX28+AY28+AV30+AW30+AX30+AY30+AV32+AW32+AX32+AY32+AV34+AW34+AX34+AY34+AV36+AW36+AX36+AY36+AV38+AW38+AX38+AY38</f>
        <v>0</v>
      </c>
      <c r="AW48" s="826"/>
      <c r="AX48" s="826"/>
      <c r="AY48" s="827"/>
      <c r="AZ48" s="825">
        <f>AZ6+BA6+BB6+BC6+AZ8+BA8+BB8+BC8+AZ10+BA10+BB10+BC10+AZ12+BA12+BB12+BC12+AZ14+BA14+BB14+BC14+AZ16+BA16+BB16+BC16+AZ18+BA18+BB18+BC18+AZ20+BA20+BB20+BC20+AZ22+BA22+BB22+BC22+AZ24+BA24+BB24+BC24+AZ26+BA26+BB26+BC26+AZ28+BA28+BB28+BC28+AZ30+BA30+BB30+BC30+AZ32+BA32+BB32+BC32+AZ34+BA34+BB34+BC34+AZ36+BA36+BB36+BC36+AZ38+BA38+BB38+BC38</f>
        <v>0</v>
      </c>
      <c r="BA48" s="826"/>
      <c r="BB48" s="826"/>
      <c r="BC48" s="827"/>
      <c r="BD48" s="658">
        <f>SUM(L48:BC48)</f>
        <v>0</v>
      </c>
      <c r="BE48" s="284"/>
      <c r="BF48" s="644"/>
      <c r="BG48" s="644"/>
      <c r="BH48" s="644"/>
      <c r="BI48" s="644"/>
      <c r="BJ48" s="644"/>
      <c r="BK48" s="644"/>
      <c r="BL48" s="644"/>
    </row>
    <row r="49" spans="1:64" ht="38.25" customHeight="1">
      <c r="A49" s="839" t="s">
        <v>219</v>
      </c>
      <c r="B49" s="840"/>
      <c r="C49" s="840"/>
      <c r="D49" s="840"/>
      <c r="E49" s="840"/>
      <c r="F49" s="840"/>
      <c r="G49" s="840"/>
      <c r="H49" s="840"/>
      <c r="I49" s="840"/>
      <c r="J49" s="840"/>
      <c r="K49" s="840"/>
      <c r="L49" s="840"/>
      <c r="M49" s="840"/>
      <c r="N49" s="840"/>
      <c r="O49" s="840"/>
      <c r="P49" s="840"/>
      <c r="Q49" s="840"/>
      <c r="R49" s="840"/>
      <c r="S49" s="840"/>
      <c r="T49" s="840"/>
      <c r="U49" s="840"/>
      <c r="V49" s="840"/>
      <c r="W49" s="840"/>
      <c r="X49" s="840"/>
      <c r="Y49" s="840"/>
      <c r="Z49" s="840"/>
      <c r="AA49" s="840"/>
      <c r="AB49" s="840"/>
      <c r="AC49" s="840"/>
      <c r="AD49" s="840"/>
      <c r="AE49" s="840"/>
      <c r="AF49" s="840"/>
      <c r="AG49" s="840"/>
      <c r="AH49" s="840"/>
      <c r="AI49" s="840"/>
      <c r="AJ49" s="840"/>
      <c r="AK49" s="840"/>
      <c r="AL49" s="840"/>
      <c r="AM49" s="840"/>
      <c r="AN49" s="840"/>
      <c r="AO49" s="840"/>
      <c r="AP49" s="840"/>
      <c r="AQ49" s="840"/>
      <c r="AR49" s="840"/>
      <c r="AS49" s="840"/>
      <c r="AT49" s="840"/>
      <c r="AU49" s="840"/>
      <c r="AV49" s="840"/>
      <c r="AW49" s="840"/>
      <c r="AX49" s="840"/>
      <c r="AY49" s="840"/>
      <c r="AZ49" s="840"/>
      <c r="BA49" s="840"/>
      <c r="BB49" s="840"/>
      <c r="BC49" s="840"/>
      <c r="BD49" s="840"/>
      <c r="BE49" s="284"/>
      <c r="BF49" s="644"/>
      <c r="BG49" s="644"/>
      <c r="BH49" s="644"/>
      <c r="BI49" s="644"/>
      <c r="BJ49" s="644"/>
      <c r="BK49" s="644"/>
      <c r="BL49" s="644"/>
    </row>
    <row r="50" spans="1:64" ht="31.5" customHeight="1">
      <c r="A50" s="843"/>
      <c r="B50" s="844">
        <v>1</v>
      </c>
      <c r="C50" s="848"/>
      <c r="D50" s="835"/>
      <c r="E50" s="659"/>
      <c r="F50" s="842"/>
      <c r="G50" s="842"/>
      <c r="H50" s="842"/>
      <c r="I50" s="841"/>
      <c r="J50" s="498">
        <f>BD50</f>
        <v>0</v>
      </c>
      <c r="K50" s="660" t="s">
        <v>361</v>
      </c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84">
        <f>E50/48</f>
        <v>0</v>
      </c>
      <c r="AC50" s="284">
        <f>AB50</f>
        <v>0</v>
      </c>
      <c r="AD50" s="284">
        <f t="shared" ref="AD50:BC50" si="25">AC50</f>
        <v>0</v>
      </c>
      <c r="AE50" s="284">
        <f t="shared" si="25"/>
        <v>0</v>
      </c>
      <c r="AF50" s="284">
        <f t="shared" si="25"/>
        <v>0</v>
      </c>
      <c r="AG50" s="284">
        <f t="shared" si="25"/>
        <v>0</v>
      </c>
      <c r="AH50" s="284">
        <f t="shared" si="25"/>
        <v>0</v>
      </c>
      <c r="AI50" s="284">
        <f t="shared" si="25"/>
        <v>0</v>
      </c>
      <c r="AJ50" s="284">
        <f t="shared" si="25"/>
        <v>0</v>
      </c>
      <c r="AK50" s="284">
        <f t="shared" si="25"/>
        <v>0</v>
      </c>
      <c r="AL50" s="284">
        <f t="shared" si="25"/>
        <v>0</v>
      </c>
      <c r="AM50" s="284">
        <f t="shared" si="25"/>
        <v>0</v>
      </c>
      <c r="AN50" s="284">
        <f t="shared" si="25"/>
        <v>0</v>
      </c>
      <c r="AO50" s="284">
        <f t="shared" si="25"/>
        <v>0</v>
      </c>
      <c r="AP50" s="284">
        <f t="shared" si="25"/>
        <v>0</v>
      </c>
      <c r="AQ50" s="284">
        <f t="shared" si="25"/>
        <v>0</v>
      </c>
      <c r="AR50" s="284">
        <f t="shared" si="25"/>
        <v>0</v>
      </c>
      <c r="AS50" s="284">
        <f t="shared" si="25"/>
        <v>0</v>
      </c>
      <c r="AT50" s="284">
        <f t="shared" si="25"/>
        <v>0</v>
      </c>
      <c r="AU50" s="284">
        <f t="shared" si="25"/>
        <v>0</v>
      </c>
      <c r="AV50" s="284">
        <f t="shared" si="25"/>
        <v>0</v>
      </c>
      <c r="AW50" s="284">
        <f t="shared" si="25"/>
        <v>0</v>
      </c>
      <c r="AX50" s="284">
        <f t="shared" si="25"/>
        <v>0</v>
      </c>
      <c r="AY50" s="284">
        <f t="shared" si="25"/>
        <v>0</v>
      </c>
      <c r="AZ50" s="284">
        <f t="shared" si="25"/>
        <v>0</v>
      </c>
      <c r="BA50" s="284">
        <f t="shared" si="25"/>
        <v>0</v>
      </c>
      <c r="BB50" s="284">
        <f t="shared" si="25"/>
        <v>0</v>
      </c>
      <c r="BC50" s="284">
        <f t="shared" si="25"/>
        <v>0</v>
      </c>
      <c r="BD50" s="284">
        <f>SUM(AB50:BC50)</f>
        <v>0</v>
      </c>
      <c r="BE50" s="284"/>
    </row>
    <row r="51" spans="1:64" ht="31.5" customHeight="1">
      <c r="A51" s="843"/>
      <c r="B51" s="844"/>
      <c r="C51" s="848"/>
      <c r="D51" s="835"/>
      <c r="E51" s="659"/>
      <c r="F51" s="842"/>
      <c r="G51" s="842"/>
      <c r="H51" s="842"/>
      <c r="I51" s="841"/>
      <c r="J51" s="496"/>
      <c r="K51" s="355" t="s">
        <v>362</v>
      </c>
      <c r="L51" s="444"/>
      <c r="M51" s="444"/>
      <c r="N51" s="444"/>
      <c r="O51" s="444"/>
      <c r="P51" s="444"/>
      <c r="Q51" s="444"/>
      <c r="R51" s="444"/>
      <c r="S51" s="444"/>
      <c r="T51" s="661"/>
      <c r="U51" s="661"/>
      <c r="V51" s="661"/>
      <c r="W51" s="661"/>
      <c r="X51" s="661"/>
      <c r="Y51" s="661"/>
      <c r="Z51" s="661"/>
      <c r="AA51" s="661"/>
      <c r="AB51" s="661"/>
      <c r="AC51" s="661"/>
      <c r="AD51" s="661"/>
      <c r="AE51" s="661"/>
      <c r="AF51" s="661"/>
      <c r="AG51" s="661"/>
      <c r="AH51" s="661"/>
      <c r="AI51" s="661"/>
      <c r="AJ51" s="661"/>
      <c r="AK51" s="661"/>
      <c r="AL51" s="661"/>
      <c r="AM51" s="661"/>
      <c r="AN51" s="661"/>
      <c r="AO51" s="661"/>
      <c r="AP51" s="661"/>
      <c r="AQ51" s="661"/>
      <c r="AR51" s="234"/>
      <c r="AS51" s="234"/>
      <c r="AT51" s="234"/>
      <c r="AU51" s="234"/>
      <c r="AV51" s="234"/>
      <c r="AW51" s="234"/>
      <c r="AX51" s="234"/>
      <c r="AY51" s="234"/>
      <c r="AZ51" s="234"/>
      <c r="BA51" s="234"/>
      <c r="BB51" s="234"/>
      <c r="BC51" s="234"/>
      <c r="BD51" s="234"/>
      <c r="BE51" s="284"/>
    </row>
    <row r="52" spans="1:64" ht="31.5" customHeight="1">
      <c r="A52" s="843"/>
      <c r="B52" s="844">
        <v>2</v>
      </c>
      <c r="C52" s="848"/>
      <c r="D52" s="835"/>
      <c r="E52" s="659"/>
      <c r="F52" s="842"/>
      <c r="G52" s="842"/>
      <c r="H52" s="842"/>
      <c r="I52" s="841"/>
      <c r="J52" s="498">
        <f>BD52</f>
        <v>0</v>
      </c>
      <c r="K52" s="660" t="s">
        <v>361</v>
      </c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84">
        <f>E52/48</f>
        <v>0</v>
      </c>
      <c r="Y52" s="284">
        <f>X52</f>
        <v>0</v>
      </c>
      <c r="Z52" s="284">
        <f t="shared" ref="Z52:BC52" si="26">Y52</f>
        <v>0</v>
      </c>
      <c r="AA52" s="284">
        <f t="shared" si="26"/>
        <v>0</v>
      </c>
      <c r="AB52" s="284">
        <f t="shared" si="26"/>
        <v>0</v>
      </c>
      <c r="AC52" s="284">
        <f t="shared" si="26"/>
        <v>0</v>
      </c>
      <c r="AD52" s="284">
        <f t="shared" si="26"/>
        <v>0</v>
      </c>
      <c r="AE52" s="284">
        <f t="shared" si="26"/>
        <v>0</v>
      </c>
      <c r="AF52" s="284">
        <f t="shared" si="26"/>
        <v>0</v>
      </c>
      <c r="AG52" s="284">
        <f t="shared" si="26"/>
        <v>0</v>
      </c>
      <c r="AH52" s="284">
        <f t="shared" si="26"/>
        <v>0</v>
      </c>
      <c r="AI52" s="284">
        <f t="shared" si="26"/>
        <v>0</v>
      </c>
      <c r="AJ52" s="284">
        <f t="shared" si="26"/>
        <v>0</v>
      </c>
      <c r="AK52" s="284">
        <f t="shared" si="26"/>
        <v>0</v>
      </c>
      <c r="AL52" s="284">
        <f t="shared" si="26"/>
        <v>0</v>
      </c>
      <c r="AM52" s="284">
        <f t="shared" si="26"/>
        <v>0</v>
      </c>
      <c r="AN52" s="284">
        <f t="shared" si="26"/>
        <v>0</v>
      </c>
      <c r="AO52" s="284">
        <f t="shared" si="26"/>
        <v>0</v>
      </c>
      <c r="AP52" s="284">
        <f t="shared" si="26"/>
        <v>0</v>
      </c>
      <c r="AQ52" s="284">
        <f t="shared" si="26"/>
        <v>0</v>
      </c>
      <c r="AR52" s="284">
        <f t="shared" si="26"/>
        <v>0</v>
      </c>
      <c r="AS52" s="284">
        <f t="shared" si="26"/>
        <v>0</v>
      </c>
      <c r="AT52" s="284">
        <f t="shared" si="26"/>
        <v>0</v>
      </c>
      <c r="AU52" s="284">
        <f t="shared" si="26"/>
        <v>0</v>
      </c>
      <c r="AV52" s="284">
        <f t="shared" si="26"/>
        <v>0</v>
      </c>
      <c r="AW52" s="284">
        <f t="shared" si="26"/>
        <v>0</v>
      </c>
      <c r="AX52" s="284">
        <f t="shared" si="26"/>
        <v>0</v>
      </c>
      <c r="AY52" s="284">
        <f t="shared" si="26"/>
        <v>0</v>
      </c>
      <c r="AZ52" s="284">
        <f t="shared" si="26"/>
        <v>0</v>
      </c>
      <c r="BA52" s="284">
        <f t="shared" si="26"/>
        <v>0</v>
      </c>
      <c r="BB52" s="284">
        <f t="shared" si="26"/>
        <v>0</v>
      </c>
      <c r="BC52" s="284">
        <f t="shared" si="26"/>
        <v>0</v>
      </c>
      <c r="BD52" s="284">
        <f>SUM(X52:BC52)</f>
        <v>0</v>
      </c>
      <c r="BE52" s="284">
        <f>AZ52/25</f>
        <v>0</v>
      </c>
    </row>
    <row r="53" spans="1:64" ht="31.5" customHeight="1">
      <c r="A53" s="843"/>
      <c r="B53" s="844"/>
      <c r="C53" s="848"/>
      <c r="D53" s="835"/>
      <c r="E53" s="659"/>
      <c r="F53" s="842"/>
      <c r="G53" s="842"/>
      <c r="H53" s="842"/>
      <c r="I53" s="841"/>
      <c r="J53" s="496"/>
      <c r="K53" s="355" t="s">
        <v>362</v>
      </c>
      <c r="L53" s="444"/>
      <c r="M53" s="444"/>
      <c r="N53" s="444"/>
      <c r="O53" s="444"/>
      <c r="P53" s="444"/>
      <c r="Q53" s="444"/>
      <c r="R53" s="444"/>
      <c r="S53" s="44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662"/>
      <c r="BE53" s="284"/>
    </row>
    <row r="54" spans="1:64" ht="31.5" customHeight="1">
      <c r="A54" s="843"/>
      <c r="B54" s="844">
        <v>3</v>
      </c>
      <c r="C54" s="848"/>
      <c r="D54" s="835"/>
      <c r="E54" s="659"/>
      <c r="F54" s="842"/>
      <c r="G54" s="842"/>
      <c r="H54" s="842"/>
      <c r="I54" s="841"/>
      <c r="J54" s="498">
        <f>BD54</f>
        <v>0</v>
      </c>
      <c r="K54" s="351" t="s">
        <v>361</v>
      </c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84">
        <f>E54/48</f>
        <v>0</v>
      </c>
      <c r="AC54" s="284">
        <f>AB54</f>
        <v>0</v>
      </c>
      <c r="AD54" s="284">
        <f t="shared" ref="AD54:BC54" si="27">AC54</f>
        <v>0</v>
      </c>
      <c r="AE54" s="284">
        <f t="shared" si="27"/>
        <v>0</v>
      </c>
      <c r="AF54" s="284">
        <f t="shared" si="27"/>
        <v>0</v>
      </c>
      <c r="AG54" s="284">
        <f t="shared" si="27"/>
        <v>0</v>
      </c>
      <c r="AH54" s="284">
        <f t="shared" si="27"/>
        <v>0</v>
      </c>
      <c r="AI54" s="284">
        <f t="shared" si="27"/>
        <v>0</v>
      </c>
      <c r="AJ54" s="284">
        <f t="shared" si="27"/>
        <v>0</v>
      </c>
      <c r="AK54" s="284">
        <f t="shared" si="27"/>
        <v>0</v>
      </c>
      <c r="AL54" s="284">
        <f t="shared" si="27"/>
        <v>0</v>
      </c>
      <c r="AM54" s="284">
        <f t="shared" si="27"/>
        <v>0</v>
      </c>
      <c r="AN54" s="284">
        <f t="shared" si="27"/>
        <v>0</v>
      </c>
      <c r="AO54" s="284">
        <f t="shared" si="27"/>
        <v>0</v>
      </c>
      <c r="AP54" s="284">
        <f t="shared" si="27"/>
        <v>0</v>
      </c>
      <c r="AQ54" s="284">
        <f t="shared" si="27"/>
        <v>0</v>
      </c>
      <c r="AR54" s="284">
        <f t="shared" si="27"/>
        <v>0</v>
      </c>
      <c r="AS54" s="284">
        <f t="shared" si="27"/>
        <v>0</v>
      </c>
      <c r="AT54" s="284">
        <f t="shared" si="27"/>
        <v>0</v>
      </c>
      <c r="AU54" s="284">
        <f t="shared" si="27"/>
        <v>0</v>
      </c>
      <c r="AV54" s="284">
        <f t="shared" si="27"/>
        <v>0</v>
      </c>
      <c r="AW54" s="284">
        <f t="shared" si="27"/>
        <v>0</v>
      </c>
      <c r="AX54" s="284">
        <f t="shared" si="27"/>
        <v>0</v>
      </c>
      <c r="AY54" s="284">
        <f t="shared" si="27"/>
        <v>0</v>
      </c>
      <c r="AZ54" s="284">
        <f t="shared" si="27"/>
        <v>0</v>
      </c>
      <c r="BA54" s="284">
        <f t="shared" si="27"/>
        <v>0</v>
      </c>
      <c r="BB54" s="284">
        <f t="shared" si="27"/>
        <v>0</v>
      </c>
      <c r="BC54" s="284">
        <f t="shared" si="27"/>
        <v>0</v>
      </c>
      <c r="BD54" s="284">
        <f>SUM(AB54:BC54)</f>
        <v>0</v>
      </c>
      <c r="BE54" s="284">
        <f>AZ54/25</f>
        <v>0</v>
      </c>
    </row>
    <row r="55" spans="1:64" ht="31.5" customHeight="1">
      <c r="A55" s="843"/>
      <c r="B55" s="844"/>
      <c r="C55" s="848"/>
      <c r="D55" s="835"/>
      <c r="E55" s="659"/>
      <c r="F55" s="842"/>
      <c r="G55" s="842"/>
      <c r="H55" s="842"/>
      <c r="I55" s="841"/>
      <c r="J55" s="498"/>
      <c r="K55" s="355" t="s">
        <v>362</v>
      </c>
      <c r="L55" s="444"/>
      <c r="M55" s="444"/>
      <c r="N55" s="444"/>
      <c r="O55" s="444"/>
      <c r="P55" s="444"/>
      <c r="Q55" s="444"/>
      <c r="R55" s="444"/>
      <c r="S55" s="444"/>
      <c r="T55" s="661"/>
      <c r="U55" s="661"/>
      <c r="V55" s="661"/>
      <c r="W55" s="661"/>
      <c r="X55" s="663"/>
      <c r="Y55" s="663"/>
      <c r="Z55" s="663"/>
      <c r="AA55" s="663"/>
      <c r="AB55" s="663"/>
      <c r="AC55" s="663"/>
      <c r="AD55" s="663"/>
      <c r="AE55" s="663"/>
      <c r="AF55" s="663"/>
      <c r="AG55" s="663"/>
      <c r="AH55" s="663"/>
      <c r="AI55" s="663"/>
      <c r="AJ55" s="663"/>
      <c r="AK55" s="663"/>
      <c r="AL55" s="663"/>
      <c r="AM55" s="663"/>
      <c r="AN55" s="663"/>
      <c r="AO55" s="663"/>
      <c r="AP55" s="663"/>
      <c r="AQ55" s="663"/>
      <c r="AR55" s="663"/>
      <c r="AS55" s="663"/>
      <c r="AT55" s="663"/>
      <c r="AU55" s="663"/>
      <c r="AV55" s="663"/>
      <c r="AW55" s="663"/>
      <c r="AX55" s="663"/>
      <c r="AY55" s="663"/>
      <c r="AZ55" s="663"/>
      <c r="BA55" s="663"/>
      <c r="BB55" s="663"/>
      <c r="BC55" s="663"/>
      <c r="BD55" s="662"/>
      <c r="BE55" s="284"/>
    </row>
    <row r="56" spans="1:64" ht="31.5" customHeight="1">
      <c r="A56" s="843"/>
      <c r="B56" s="844">
        <v>4</v>
      </c>
      <c r="C56" s="849"/>
      <c r="D56" s="835"/>
      <c r="E56" s="655"/>
      <c r="F56" s="836"/>
      <c r="G56" s="836"/>
      <c r="H56" s="836"/>
      <c r="I56" s="836"/>
      <c r="J56" s="498">
        <f>BD56</f>
        <v>0</v>
      </c>
      <c r="K56" s="351" t="s">
        <v>361</v>
      </c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84">
        <f>E56/48</f>
        <v>0</v>
      </c>
      <c r="AC56" s="284">
        <f>AB56</f>
        <v>0</v>
      </c>
      <c r="AD56" s="284">
        <f t="shared" ref="AD56:BC56" si="28">AC56</f>
        <v>0</v>
      </c>
      <c r="AE56" s="284">
        <f t="shared" si="28"/>
        <v>0</v>
      </c>
      <c r="AF56" s="284">
        <f t="shared" si="28"/>
        <v>0</v>
      </c>
      <c r="AG56" s="284">
        <f t="shared" si="28"/>
        <v>0</v>
      </c>
      <c r="AH56" s="284">
        <f t="shared" si="28"/>
        <v>0</v>
      </c>
      <c r="AI56" s="284">
        <f t="shared" si="28"/>
        <v>0</v>
      </c>
      <c r="AJ56" s="284">
        <f t="shared" si="28"/>
        <v>0</v>
      </c>
      <c r="AK56" s="284">
        <f t="shared" si="28"/>
        <v>0</v>
      </c>
      <c r="AL56" s="284">
        <f t="shared" si="28"/>
        <v>0</v>
      </c>
      <c r="AM56" s="284">
        <f t="shared" si="28"/>
        <v>0</v>
      </c>
      <c r="AN56" s="284">
        <f t="shared" si="28"/>
        <v>0</v>
      </c>
      <c r="AO56" s="284">
        <f t="shared" si="28"/>
        <v>0</v>
      </c>
      <c r="AP56" s="284">
        <f t="shared" si="28"/>
        <v>0</v>
      </c>
      <c r="AQ56" s="284">
        <f t="shared" si="28"/>
        <v>0</v>
      </c>
      <c r="AR56" s="284">
        <f t="shared" si="28"/>
        <v>0</v>
      </c>
      <c r="AS56" s="284">
        <f t="shared" si="28"/>
        <v>0</v>
      </c>
      <c r="AT56" s="284">
        <f t="shared" si="28"/>
        <v>0</v>
      </c>
      <c r="AU56" s="284">
        <f t="shared" si="28"/>
        <v>0</v>
      </c>
      <c r="AV56" s="284">
        <f t="shared" si="28"/>
        <v>0</v>
      </c>
      <c r="AW56" s="284">
        <f t="shared" si="28"/>
        <v>0</v>
      </c>
      <c r="AX56" s="284">
        <f t="shared" si="28"/>
        <v>0</v>
      </c>
      <c r="AY56" s="284">
        <f t="shared" si="28"/>
        <v>0</v>
      </c>
      <c r="AZ56" s="284">
        <f t="shared" si="28"/>
        <v>0</v>
      </c>
      <c r="BA56" s="284">
        <f t="shared" si="28"/>
        <v>0</v>
      </c>
      <c r="BB56" s="284">
        <f t="shared" si="28"/>
        <v>0</v>
      </c>
      <c r="BC56" s="284">
        <f t="shared" si="28"/>
        <v>0</v>
      </c>
      <c r="BD56" s="284">
        <f>SUM(AB56:BC56)</f>
        <v>0</v>
      </c>
      <c r="BE56" s="284">
        <f>AZ56/25</f>
        <v>0</v>
      </c>
      <c r="BF56" s="644"/>
      <c r="BG56" s="644"/>
      <c r="BH56" s="644"/>
      <c r="BI56" s="644"/>
      <c r="BJ56" s="644"/>
      <c r="BK56" s="644"/>
      <c r="BL56" s="644"/>
    </row>
    <row r="57" spans="1:64" ht="31.5" customHeight="1">
      <c r="A57" s="843"/>
      <c r="B57" s="844"/>
      <c r="C57" s="849"/>
      <c r="D57" s="835"/>
      <c r="E57" s="664"/>
      <c r="F57" s="836"/>
      <c r="G57" s="836"/>
      <c r="H57" s="836"/>
      <c r="I57" s="836"/>
      <c r="J57" s="496"/>
      <c r="K57" s="297" t="s">
        <v>362</v>
      </c>
      <c r="L57" s="292"/>
      <c r="M57" s="292"/>
      <c r="N57" s="292"/>
      <c r="O57" s="292"/>
      <c r="P57" s="234"/>
      <c r="Q57" s="234"/>
      <c r="R57" s="234"/>
      <c r="S57" s="234"/>
      <c r="T57" s="444"/>
      <c r="U57" s="444"/>
      <c r="V57" s="444"/>
      <c r="W57" s="444"/>
      <c r="X57" s="444"/>
      <c r="Y57" s="444"/>
      <c r="Z57" s="444"/>
      <c r="AA57" s="444"/>
      <c r="AB57" s="444"/>
      <c r="AC57" s="444"/>
      <c r="AD57" s="444"/>
      <c r="AE57" s="44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  <c r="BB57" s="234"/>
      <c r="BC57" s="234"/>
      <c r="BD57" s="234"/>
      <c r="BE57" s="284"/>
      <c r="BF57" s="644"/>
      <c r="BG57" s="644"/>
      <c r="BH57" s="644"/>
      <c r="BI57" s="644"/>
      <c r="BJ57" s="644"/>
      <c r="BK57" s="644"/>
      <c r="BL57" s="644"/>
    </row>
    <row r="58" spans="1:64" ht="36" customHeight="1">
      <c r="A58" s="843"/>
      <c r="B58" s="859">
        <v>5</v>
      </c>
      <c r="C58" s="837"/>
      <c r="D58" s="830"/>
      <c r="E58" s="659"/>
      <c r="F58" s="832"/>
      <c r="G58" s="833"/>
      <c r="H58" s="834"/>
      <c r="I58" s="926"/>
      <c r="J58" s="498">
        <f>BD58</f>
        <v>0</v>
      </c>
      <c r="K58" s="660" t="s">
        <v>361</v>
      </c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84">
        <f>E58/48</f>
        <v>0</v>
      </c>
      <c r="AC58" s="284">
        <f>AB58</f>
        <v>0</v>
      </c>
      <c r="AD58" s="284">
        <f t="shared" ref="AD58:BC58" si="29">AC58</f>
        <v>0</v>
      </c>
      <c r="AE58" s="284">
        <f t="shared" si="29"/>
        <v>0</v>
      </c>
      <c r="AF58" s="284">
        <f t="shared" si="29"/>
        <v>0</v>
      </c>
      <c r="AG58" s="284">
        <f t="shared" si="29"/>
        <v>0</v>
      </c>
      <c r="AH58" s="284">
        <f t="shared" si="29"/>
        <v>0</v>
      </c>
      <c r="AI58" s="284">
        <f t="shared" si="29"/>
        <v>0</v>
      </c>
      <c r="AJ58" s="284">
        <f t="shared" si="29"/>
        <v>0</v>
      </c>
      <c r="AK58" s="284">
        <f t="shared" si="29"/>
        <v>0</v>
      </c>
      <c r="AL58" s="284">
        <f t="shared" si="29"/>
        <v>0</v>
      </c>
      <c r="AM58" s="284">
        <f t="shared" si="29"/>
        <v>0</v>
      </c>
      <c r="AN58" s="284">
        <f t="shared" si="29"/>
        <v>0</v>
      </c>
      <c r="AO58" s="284">
        <f t="shared" si="29"/>
        <v>0</v>
      </c>
      <c r="AP58" s="284">
        <f t="shared" si="29"/>
        <v>0</v>
      </c>
      <c r="AQ58" s="284">
        <f t="shared" si="29"/>
        <v>0</v>
      </c>
      <c r="AR58" s="284">
        <f t="shared" si="29"/>
        <v>0</v>
      </c>
      <c r="AS58" s="284">
        <f t="shared" si="29"/>
        <v>0</v>
      </c>
      <c r="AT58" s="284">
        <f t="shared" si="29"/>
        <v>0</v>
      </c>
      <c r="AU58" s="284">
        <f t="shared" si="29"/>
        <v>0</v>
      </c>
      <c r="AV58" s="284">
        <f t="shared" si="29"/>
        <v>0</v>
      </c>
      <c r="AW58" s="284">
        <f t="shared" si="29"/>
        <v>0</v>
      </c>
      <c r="AX58" s="284">
        <f t="shared" si="29"/>
        <v>0</v>
      </c>
      <c r="AY58" s="284">
        <f t="shared" si="29"/>
        <v>0</v>
      </c>
      <c r="AZ58" s="284">
        <f t="shared" si="29"/>
        <v>0</v>
      </c>
      <c r="BA58" s="284">
        <f t="shared" si="29"/>
        <v>0</v>
      </c>
      <c r="BB58" s="284">
        <f t="shared" si="29"/>
        <v>0</v>
      </c>
      <c r="BC58" s="284">
        <f t="shared" si="29"/>
        <v>0</v>
      </c>
      <c r="BD58" s="284">
        <f>SUM(AB58:BC58)</f>
        <v>0</v>
      </c>
      <c r="BE58" s="284">
        <f>AZ58/25</f>
        <v>0</v>
      </c>
    </row>
    <row r="59" spans="1:64" ht="36" customHeight="1">
      <c r="A59" s="843"/>
      <c r="B59" s="860"/>
      <c r="C59" s="838"/>
      <c r="D59" s="831"/>
      <c r="E59" s="665"/>
      <c r="F59" s="832"/>
      <c r="G59" s="833"/>
      <c r="H59" s="834"/>
      <c r="I59" s="927"/>
      <c r="J59" s="496"/>
      <c r="K59" s="355" t="s">
        <v>362</v>
      </c>
      <c r="L59" s="444"/>
      <c r="M59" s="444"/>
      <c r="N59" s="444"/>
      <c r="O59" s="444"/>
      <c r="P59" s="444"/>
      <c r="Q59" s="444"/>
      <c r="R59" s="444"/>
      <c r="S59" s="444"/>
      <c r="T59" s="661"/>
      <c r="U59" s="661"/>
      <c r="V59" s="661"/>
      <c r="W59" s="661"/>
      <c r="X59" s="661"/>
      <c r="Y59" s="661"/>
      <c r="Z59" s="661"/>
      <c r="AA59" s="661"/>
      <c r="AB59" s="661"/>
      <c r="AC59" s="661"/>
      <c r="AD59" s="661"/>
      <c r="AE59" s="661"/>
      <c r="AF59" s="661"/>
      <c r="AG59" s="661"/>
      <c r="AH59" s="661"/>
      <c r="AI59" s="661"/>
      <c r="AJ59" s="661"/>
      <c r="AK59" s="661"/>
      <c r="AL59" s="661"/>
      <c r="AM59" s="661"/>
      <c r="AN59" s="661"/>
      <c r="AO59" s="661"/>
      <c r="AP59" s="661"/>
      <c r="AQ59" s="661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84"/>
    </row>
    <row r="60" spans="1:64" ht="33.75" customHeight="1">
      <c r="A60" s="843"/>
      <c r="B60" s="859">
        <v>6</v>
      </c>
      <c r="C60" s="837"/>
      <c r="D60" s="830"/>
      <c r="E60" s="659"/>
      <c r="F60" s="832"/>
      <c r="G60" s="833"/>
      <c r="H60" s="834"/>
      <c r="I60" s="927"/>
      <c r="J60" s="498">
        <f>BD60</f>
        <v>0</v>
      </c>
      <c r="K60" s="660" t="s">
        <v>361</v>
      </c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84">
        <f>E60/48</f>
        <v>0</v>
      </c>
      <c r="AC60" s="284">
        <f>AB60</f>
        <v>0</v>
      </c>
      <c r="AD60" s="284">
        <f t="shared" ref="AD60:BC60" si="30">AC60</f>
        <v>0</v>
      </c>
      <c r="AE60" s="284">
        <f t="shared" si="30"/>
        <v>0</v>
      </c>
      <c r="AF60" s="284">
        <f t="shared" si="30"/>
        <v>0</v>
      </c>
      <c r="AG60" s="284">
        <f t="shared" si="30"/>
        <v>0</v>
      </c>
      <c r="AH60" s="284">
        <f t="shared" si="30"/>
        <v>0</v>
      </c>
      <c r="AI60" s="284">
        <f t="shared" si="30"/>
        <v>0</v>
      </c>
      <c r="AJ60" s="284">
        <f t="shared" si="30"/>
        <v>0</v>
      </c>
      <c r="AK60" s="284">
        <f t="shared" si="30"/>
        <v>0</v>
      </c>
      <c r="AL60" s="284">
        <f t="shared" si="30"/>
        <v>0</v>
      </c>
      <c r="AM60" s="284">
        <f t="shared" si="30"/>
        <v>0</v>
      </c>
      <c r="AN60" s="284">
        <f t="shared" si="30"/>
        <v>0</v>
      </c>
      <c r="AO60" s="284">
        <f t="shared" si="30"/>
        <v>0</v>
      </c>
      <c r="AP60" s="284">
        <f t="shared" si="30"/>
        <v>0</v>
      </c>
      <c r="AQ60" s="284">
        <f t="shared" si="30"/>
        <v>0</v>
      </c>
      <c r="AR60" s="284">
        <f t="shared" si="30"/>
        <v>0</v>
      </c>
      <c r="AS60" s="284">
        <f t="shared" si="30"/>
        <v>0</v>
      </c>
      <c r="AT60" s="284">
        <f t="shared" si="30"/>
        <v>0</v>
      </c>
      <c r="AU60" s="284">
        <f t="shared" si="30"/>
        <v>0</v>
      </c>
      <c r="AV60" s="284">
        <f t="shared" si="30"/>
        <v>0</v>
      </c>
      <c r="AW60" s="284">
        <f t="shared" si="30"/>
        <v>0</v>
      </c>
      <c r="AX60" s="284">
        <f t="shared" si="30"/>
        <v>0</v>
      </c>
      <c r="AY60" s="284">
        <f t="shared" si="30"/>
        <v>0</v>
      </c>
      <c r="AZ60" s="284">
        <f t="shared" si="30"/>
        <v>0</v>
      </c>
      <c r="BA60" s="284">
        <f t="shared" si="30"/>
        <v>0</v>
      </c>
      <c r="BB60" s="284">
        <f t="shared" si="30"/>
        <v>0</v>
      </c>
      <c r="BC60" s="284">
        <f t="shared" si="30"/>
        <v>0</v>
      </c>
      <c r="BD60" s="284">
        <f>SUM(AB60:BC60)</f>
        <v>0</v>
      </c>
      <c r="BE60" s="284">
        <f>AZ60/25</f>
        <v>0</v>
      </c>
    </row>
    <row r="61" spans="1:64" ht="33.75" customHeight="1">
      <c r="A61" s="843"/>
      <c r="B61" s="860"/>
      <c r="C61" s="838"/>
      <c r="D61" s="831"/>
      <c r="E61" s="665"/>
      <c r="F61" s="832"/>
      <c r="G61" s="833"/>
      <c r="H61" s="834"/>
      <c r="I61" s="927"/>
      <c r="J61" s="496"/>
      <c r="K61" s="355" t="s">
        <v>362</v>
      </c>
      <c r="L61" s="444"/>
      <c r="M61" s="444"/>
      <c r="N61" s="444"/>
      <c r="O61" s="444"/>
      <c r="P61" s="444"/>
      <c r="Q61" s="444"/>
      <c r="R61" s="444"/>
      <c r="S61" s="44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4"/>
      <c r="AY61" s="234"/>
      <c r="AZ61" s="234"/>
      <c r="BA61" s="234"/>
      <c r="BB61" s="234"/>
      <c r="BC61" s="234"/>
      <c r="BD61" s="234"/>
      <c r="BE61" s="284"/>
    </row>
    <row r="62" spans="1:64" ht="27" customHeight="1">
      <c r="A62" s="843"/>
      <c r="B62" s="859">
        <v>7</v>
      </c>
      <c r="C62" s="837"/>
      <c r="D62" s="830"/>
      <c r="E62" s="659"/>
      <c r="F62" s="832"/>
      <c r="G62" s="833"/>
      <c r="H62" s="834"/>
      <c r="I62" s="927"/>
      <c r="J62" s="498">
        <f>BD62</f>
        <v>0</v>
      </c>
      <c r="K62" s="660" t="s">
        <v>361</v>
      </c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84">
        <f>E62/48</f>
        <v>0</v>
      </c>
      <c r="AC62" s="284">
        <f>AB62</f>
        <v>0</v>
      </c>
      <c r="AD62" s="284">
        <f t="shared" ref="AD62:BC62" si="31">AC62</f>
        <v>0</v>
      </c>
      <c r="AE62" s="284">
        <f t="shared" si="31"/>
        <v>0</v>
      </c>
      <c r="AF62" s="284">
        <f t="shared" si="31"/>
        <v>0</v>
      </c>
      <c r="AG62" s="284">
        <f t="shared" si="31"/>
        <v>0</v>
      </c>
      <c r="AH62" s="284">
        <f t="shared" si="31"/>
        <v>0</v>
      </c>
      <c r="AI62" s="284">
        <f t="shared" si="31"/>
        <v>0</v>
      </c>
      <c r="AJ62" s="284">
        <f t="shared" si="31"/>
        <v>0</v>
      </c>
      <c r="AK62" s="284">
        <f t="shared" si="31"/>
        <v>0</v>
      </c>
      <c r="AL62" s="284">
        <f t="shared" si="31"/>
        <v>0</v>
      </c>
      <c r="AM62" s="284">
        <f t="shared" si="31"/>
        <v>0</v>
      </c>
      <c r="AN62" s="284">
        <f t="shared" si="31"/>
        <v>0</v>
      </c>
      <c r="AO62" s="284">
        <f t="shared" si="31"/>
        <v>0</v>
      </c>
      <c r="AP62" s="284">
        <f t="shared" si="31"/>
        <v>0</v>
      </c>
      <c r="AQ62" s="284">
        <f t="shared" si="31"/>
        <v>0</v>
      </c>
      <c r="AR62" s="284">
        <f t="shared" si="31"/>
        <v>0</v>
      </c>
      <c r="AS62" s="284">
        <f t="shared" si="31"/>
        <v>0</v>
      </c>
      <c r="AT62" s="284">
        <f t="shared" si="31"/>
        <v>0</v>
      </c>
      <c r="AU62" s="284">
        <f t="shared" si="31"/>
        <v>0</v>
      </c>
      <c r="AV62" s="284">
        <f t="shared" si="31"/>
        <v>0</v>
      </c>
      <c r="AW62" s="284">
        <f t="shared" si="31"/>
        <v>0</v>
      </c>
      <c r="AX62" s="284">
        <f t="shared" si="31"/>
        <v>0</v>
      </c>
      <c r="AY62" s="284">
        <f t="shared" si="31"/>
        <v>0</v>
      </c>
      <c r="AZ62" s="284">
        <f t="shared" si="31"/>
        <v>0</v>
      </c>
      <c r="BA62" s="284">
        <f t="shared" si="31"/>
        <v>0</v>
      </c>
      <c r="BB62" s="284">
        <f t="shared" si="31"/>
        <v>0</v>
      </c>
      <c r="BC62" s="284">
        <f t="shared" si="31"/>
        <v>0</v>
      </c>
      <c r="BD62" s="284">
        <f>SUM(AB62:BC62)</f>
        <v>0</v>
      </c>
      <c r="BE62" s="284">
        <f>AZ62/25</f>
        <v>0</v>
      </c>
    </row>
    <row r="63" spans="1:64" ht="27" customHeight="1">
      <c r="A63" s="843"/>
      <c r="B63" s="860"/>
      <c r="C63" s="838"/>
      <c r="D63" s="831"/>
      <c r="E63" s="659"/>
      <c r="F63" s="832"/>
      <c r="G63" s="833"/>
      <c r="H63" s="834"/>
      <c r="I63" s="928"/>
      <c r="J63" s="496"/>
      <c r="K63" s="355" t="s">
        <v>362</v>
      </c>
      <c r="L63" s="444"/>
      <c r="M63" s="444"/>
      <c r="N63" s="444"/>
      <c r="O63" s="444"/>
      <c r="P63" s="444"/>
      <c r="Q63" s="444"/>
      <c r="R63" s="444"/>
      <c r="S63" s="444"/>
      <c r="T63" s="661"/>
      <c r="U63" s="661"/>
      <c r="V63" s="661"/>
      <c r="W63" s="661"/>
      <c r="X63" s="661"/>
      <c r="Y63" s="661"/>
      <c r="Z63" s="661"/>
      <c r="AA63" s="661"/>
      <c r="AB63" s="661"/>
      <c r="AC63" s="661"/>
      <c r="AD63" s="661"/>
      <c r="AE63" s="661"/>
      <c r="AF63" s="661"/>
      <c r="AG63" s="661"/>
      <c r="AH63" s="661"/>
      <c r="AI63" s="661"/>
      <c r="AJ63" s="661"/>
      <c r="AK63" s="661"/>
      <c r="AL63" s="661"/>
      <c r="AM63" s="661"/>
      <c r="AN63" s="661"/>
      <c r="AO63" s="661"/>
      <c r="AP63" s="661"/>
      <c r="AQ63" s="661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84"/>
    </row>
    <row r="64" spans="1:64" ht="27" customHeight="1">
      <c r="A64" s="896" t="s">
        <v>535</v>
      </c>
      <c r="B64" s="897"/>
      <c r="C64" s="897"/>
      <c r="D64" s="897"/>
      <c r="E64" s="897"/>
      <c r="F64" s="897"/>
      <c r="G64" s="897"/>
      <c r="H64" s="897"/>
      <c r="I64" s="897"/>
      <c r="J64" s="898"/>
      <c r="K64" s="660" t="s">
        <v>361</v>
      </c>
      <c r="L64" s="891">
        <f>L50+M50+N50+O50+L52+M52+N52+O52+L54+M54+N54+O54+L56+M56+N56+O56+L58+M58+N58+O58+L60+M60+N60+O60+L62+M62+N62+O62</f>
        <v>0</v>
      </c>
      <c r="M64" s="892"/>
      <c r="N64" s="892"/>
      <c r="O64" s="893"/>
      <c r="P64" s="891">
        <f>P50+Q50+R50+S50+P52+Q52+R52+S52+P54+Q54+R54+S54+P56+Q56+R56+S56+P58+Q58+R58+S58+P60+Q60+R60+S60+P62+Q62+R62+S62</f>
        <v>0</v>
      </c>
      <c r="Q64" s="892"/>
      <c r="R64" s="892"/>
      <c r="S64" s="893"/>
      <c r="T64" s="891">
        <f>T50+U50+V50+W50+T52+U52+V52+W52+T54+U54+V54+W54+T56+U56+V56+W56+T58+U58+V58+W58+T60+U60+V60+W60+T62+U62+V62+W62</f>
        <v>0</v>
      </c>
      <c r="U64" s="892"/>
      <c r="V64" s="892"/>
      <c r="W64" s="893"/>
      <c r="X64" s="891">
        <f>X50+Y50+Z50+AA50+X52+Y52+Z52+AA52+X54+Y54+Z54+AA54+X56+Y56+Z56+AA56+X58+Y58+Z58+AA58+X60+Y60+Z60+AA60+X62+Y62+Z62+AA62</f>
        <v>0</v>
      </c>
      <c r="Y64" s="892"/>
      <c r="Z64" s="892"/>
      <c r="AA64" s="893"/>
      <c r="AB64" s="891">
        <f>AB50+AC50+AD50+AE50+AB52+AC52+AD52+AE52+AB54+AC54+AD54+AE54+AB56+AC56+AD56+AE56+AB58+AC58+AD58+AE58+AB60+AC60+AD60+AE60+AB62+AC62+AD62+AE62</f>
        <v>0</v>
      </c>
      <c r="AC64" s="892"/>
      <c r="AD64" s="892"/>
      <c r="AE64" s="893"/>
      <c r="AF64" s="891">
        <f>AF50+AG50+AH50+AI50+AF52+AG52+AH52+AI52+AF54+AG54+AH54+AI54+AF56+AG56+AH56+AI56+AF58+AG58+AH58+AI58+AF60+AG60+AH60+AI60+AF62+AG62+AH62+AI62</f>
        <v>0</v>
      </c>
      <c r="AG64" s="892"/>
      <c r="AH64" s="892"/>
      <c r="AI64" s="893"/>
      <c r="AJ64" s="891">
        <f>AJ50+AK50+AL50+AM50+AJ52+AK52+AL52+AM52+AJ54+AK54+AL54+AM54+AJ56+AK56+AL56+AM56+AJ58+AK58+AL58+AM58+AJ60+AK60+AL60+AM60+AJ62+AK62+AL62+AM62</f>
        <v>0</v>
      </c>
      <c r="AK64" s="892"/>
      <c r="AL64" s="892"/>
      <c r="AM64" s="893"/>
      <c r="AN64" s="891">
        <f>AN50+AO50+AP50+AQ50+AN52+AO52+AP52+AQ52+AN54+AO54+AP54+AQ54+AN56+AO56+AP56+AQ56+AN58+AO58+AP58+AQ58+AN60+AO60+AP60+AQ60+AN62+AO62+AP62+AQ62</f>
        <v>0</v>
      </c>
      <c r="AO64" s="892"/>
      <c r="AP64" s="892"/>
      <c r="AQ64" s="893"/>
      <c r="AR64" s="891">
        <f>AR50+AS50+AT50+AU50+AR52+AS52+AT52+AU52+AR54+AS54+AT54+AU54+AR56+AS56+AT56+AU56+AR58+AS58+AT58+AU58+AR60+AS60+AT60+AU60+AR62+AS62+AT62+AU62</f>
        <v>0</v>
      </c>
      <c r="AS64" s="892"/>
      <c r="AT64" s="892"/>
      <c r="AU64" s="893"/>
      <c r="AV64" s="891">
        <f>AV50+AW50+AX50+AY50+AV52+AW52+AX52+AY52+AV54+AW54+AX54+AY54+AV56+AW56+AX56+AY56+AV58+AW58+AX58+AY58+AV60+AW60+AX60+AY60+AV62+AW62+AX62+AY62</f>
        <v>0</v>
      </c>
      <c r="AW64" s="892"/>
      <c r="AX64" s="892"/>
      <c r="AY64" s="893"/>
      <c r="AZ64" s="891">
        <f>AZ50+BA50+BB50+BC50+AZ52+BA52+BB52+BC52+AZ54+BA54+BB54+BC54+AZ56+BA56+BB56+BC56+AZ58+BA58+BB58+BC58+AZ60+BA60+BB60+BC60+AZ62+BA62+BB62+BC62</f>
        <v>0</v>
      </c>
      <c r="BA64" s="892"/>
      <c r="BB64" s="892"/>
      <c r="BC64" s="893"/>
      <c r="BD64" s="658">
        <f>SUM(L64:BC64)</f>
        <v>0</v>
      </c>
      <c r="BE64" s="284"/>
    </row>
    <row r="65" spans="1:65" ht="27" customHeight="1">
      <c r="A65" s="896" t="s">
        <v>536</v>
      </c>
      <c r="B65" s="897"/>
      <c r="C65" s="897"/>
      <c r="D65" s="897"/>
      <c r="E65" s="897"/>
      <c r="F65" s="897"/>
      <c r="G65" s="897"/>
      <c r="H65" s="897"/>
      <c r="I65" s="897"/>
      <c r="J65" s="898"/>
      <c r="K65" s="355" t="s">
        <v>362</v>
      </c>
      <c r="L65" s="891">
        <f>L51+M51+N51+O51+L53+M53+N53+O53+L55+M55+N55+O55+L57+M57+N57+O57+L59+M59+N59+O59+L61+M61+N61+O61+L63+M63+N63+O63</f>
        <v>0</v>
      </c>
      <c r="M65" s="892"/>
      <c r="N65" s="892"/>
      <c r="O65" s="893"/>
      <c r="P65" s="891">
        <f>P51+Q51+R51+S51+P53+Q53+R53+S53+P55+Q55+R55+S55+P57+Q57+R57+S57+P59+Q59+R59+S59+P61+Q61+R61+S61+P63+Q63+R63+S63</f>
        <v>0</v>
      </c>
      <c r="Q65" s="892"/>
      <c r="R65" s="892"/>
      <c r="S65" s="893"/>
      <c r="T65" s="891">
        <f>T51+U51+V51+W51+T53+U53+V53+W53+T55+U55+V55+W55+T57+U57+V57+W57+T59+U59+V59+W59+T61+U61+V61+W61+T63+U63+V63+W63</f>
        <v>0</v>
      </c>
      <c r="U65" s="892"/>
      <c r="V65" s="892"/>
      <c r="W65" s="893"/>
      <c r="X65" s="891">
        <f>X51+Y51+Z51+AA51+X53+Y53+Z53+AA53+X55+Y55+Z55+AA55+X57+Y57+Z57+AA57+X59+Y59+Z59+AA59+X61+Y61+Z61+AA61+X63+Y63+Z63+AA63</f>
        <v>0</v>
      </c>
      <c r="Y65" s="892"/>
      <c r="Z65" s="892"/>
      <c r="AA65" s="893"/>
      <c r="AB65" s="891">
        <f>AB51+AC51+AD51+AE51+AB53+AC53+AD53+AE53+AB55+AC55+AD55+AE55+AB57+AC57+AD57+AE57+AB59+AC59+AD59+AE59+AB61+AC61+AD61+AE61+AB63+AC63+AD63+AE63</f>
        <v>0</v>
      </c>
      <c r="AC65" s="892"/>
      <c r="AD65" s="892"/>
      <c r="AE65" s="893"/>
      <c r="AF65" s="891">
        <f>AF51+AG51+AH51+AI51+AF53+AG53+AH53+AI53+AF55+AG55+AH55+AI55+AF57+AG57+AH57+AI57+AF59+AG59+AH59+AI59+AF61+AG61+AH61+AI61+AF63+AG63+AH63+AI63</f>
        <v>0</v>
      </c>
      <c r="AG65" s="892"/>
      <c r="AH65" s="892"/>
      <c r="AI65" s="893"/>
      <c r="AJ65" s="891">
        <f>AJ51+AK51+AL51+AM51+AJ53+AK53+AL53+AM53+AJ55+AK55+AL55+AM55+AJ57+AK57+AL57+AM57+AJ59+AK59+AL59+AM59+AJ61+AK61+AL61+AM61+AJ63+AK63+AL63+AM63</f>
        <v>0</v>
      </c>
      <c r="AK65" s="892"/>
      <c r="AL65" s="892"/>
      <c r="AM65" s="893"/>
      <c r="AN65" s="891">
        <f>AN51+AO51+AP51+AQ51+AN53+AO53+AP53+AQ53+AN55+AO55+AP55+AQ55+AN57+AO57+AP57+AQ57+AN59+AO59+AP59+AQ59+AN61+AO61+AP61+AQ61+AN63+AO63+AP63+AQ63</f>
        <v>0</v>
      </c>
      <c r="AO65" s="892"/>
      <c r="AP65" s="892"/>
      <c r="AQ65" s="893"/>
      <c r="AR65" s="891">
        <f>AR51+AS51+AT51+AU51+AR53+AS53+AT53+AU53+AR55+AS55+AT55+AU55+AR57+AS57+AT57+AU57+AR59+AS59+AT59+AU59+AR61+AS61+AT61+AU61+AR63+AS63+AT63+AU63</f>
        <v>0</v>
      </c>
      <c r="AS65" s="892"/>
      <c r="AT65" s="892"/>
      <c r="AU65" s="893"/>
      <c r="AV65" s="891">
        <f>AV51+AW51+AX51+AY51+AV53+AW53+AX53+AY53+AV55+AW55+AX55+AY55+AV57+AW57+AX57+AY57+AV59+AW59+AX59+AY59+AV61+AW61+AX61+AY61+AV63+AW63+AX63+AY63</f>
        <v>0</v>
      </c>
      <c r="AW65" s="892"/>
      <c r="AX65" s="892"/>
      <c r="AY65" s="893"/>
      <c r="AZ65" s="891">
        <f>AZ51+BA51+BB51+BC51+AZ53+BA53+BB53+BC53+AZ55+BA55+BB55+BC55+AZ57+BA57+BB57+BC57+AZ59+BA59+BB59+BC59+AZ61+BA61+BB61+BC61+AZ63+BA63+BB63+BC63</f>
        <v>0</v>
      </c>
      <c r="BA65" s="892"/>
      <c r="BB65" s="892"/>
      <c r="BC65" s="893"/>
      <c r="BD65" s="658">
        <f>SUM(L65:BC65)</f>
        <v>0</v>
      </c>
      <c r="BE65" s="284"/>
    </row>
    <row r="66" spans="1:65" ht="48.75" customHeight="1">
      <c r="A66" s="906" t="s">
        <v>149</v>
      </c>
      <c r="B66" s="907"/>
      <c r="C66" s="907"/>
      <c r="D66" s="907"/>
      <c r="E66" s="907"/>
      <c r="F66" s="907"/>
      <c r="G66" s="907"/>
      <c r="H66" s="907"/>
      <c r="I66" s="907"/>
      <c r="J66" s="907"/>
      <c r="K66" s="907"/>
      <c r="L66" s="907"/>
      <c r="M66" s="907"/>
      <c r="N66" s="907"/>
      <c r="O66" s="907"/>
      <c r="P66" s="907"/>
      <c r="Q66" s="907"/>
      <c r="R66" s="907"/>
      <c r="S66" s="907"/>
      <c r="T66" s="907"/>
      <c r="U66" s="907"/>
      <c r="V66" s="907"/>
      <c r="W66" s="907"/>
      <c r="X66" s="907"/>
      <c r="Y66" s="907"/>
      <c r="Z66" s="907"/>
      <c r="AA66" s="907"/>
      <c r="AB66" s="907"/>
      <c r="AC66" s="907"/>
      <c r="AD66" s="907"/>
      <c r="AE66" s="907"/>
      <c r="AF66" s="907"/>
      <c r="AG66" s="907"/>
      <c r="AH66" s="907"/>
      <c r="AI66" s="907"/>
      <c r="AJ66" s="907"/>
      <c r="AK66" s="907"/>
      <c r="AL66" s="907"/>
      <c r="AM66" s="907"/>
      <c r="AN66" s="907"/>
      <c r="AO66" s="907"/>
      <c r="AP66" s="907"/>
      <c r="AQ66" s="907"/>
      <c r="AR66" s="907"/>
      <c r="AS66" s="907"/>
      <c r="AT66" s="907"/>
      <c r="AU66" s="907"/>
      <c r="AV66" s="907"/>
      <c r="AW66" s="907"/>
      <c r="AX66" s="907"/>
      <c r="AY66" s="907"/>
      <c r="AZ66" s="907"/>
      <c r="BA66" s="907"/>
      <c r="BB66" s="907"/>
      <c r="BC66" s="907"/>
      <c r="BD66" s="907"/>
      <c r="BE66" s="284"/>
    </row>
    <row r="67" spans="1:65" customFormat="1" ht="37.5" customHeight="1">
      <c r="A67" s="908"/>
      <c r="B67" s="861">
        <v>1</v>
      </c>
      <c r="C67" s="863" t="s">
        <v>553</v>
      </c>
      <c r="D67" s="857"/>
      <c r="E67" s="679">
        <f>154000/100000</f>
        <v>1.54</v>
      </c>
      <c r="F67" s="871" t="s">
        <v>546</v>
      </c>
      <c r="G67" s="872"/>
      <c r="H67" s="873"/>
      <c r="I67" s="281" t="s">
        <v>547</v>
      </c>
      <c r="J67" s="281"/>
      <c r="K67" s="283" t="s">
        <v>361</v>
      </c>
      <c r="L67" s="290"/>
      <c r="M67" s="290"/>
      <c r="N67" s="290"/>
      <c r="O67" s="290"/>
      <c r="P67" s="290"/>
      <c r="Q67" s="290"/>
      <c r="R67" s="290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98"/>
      <c r="BM67" s="284"/>
    </row>
    <row r="68" spans="1:65" customFormat="1" ht="37.5" customHeight="1">
      <c r="A68" s="909"/>
      <c r="B68" s="862"/>
      <c r="C68" s="864"/>
      <c r="D68" s="858"/>
      <c r="E68" s="641"/>
      <c r="F68" s="874"/>
      <c r="G68" s="875"/>
      <c r="H68" s="876"/>
      <c r="I68" s="281"/>
      <c r="J68" s="281"/>
      <c r="K68" s="280" t="s">
        <v>362</v>
      </c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  <c r="AV68" s="234"/>
      <c r="AW68" s="234"/>
      <c r="AX68" s="234"/>
      <c r="AY68" s="234"/>
      <c r="AZ68" s="234"/>
      <c r="BA68" s="234"/>
      <c r="BB68" s="234"/>
      <c r="BC68" s="234"/>
      <c r="BD68" s="234"/>
      <c r="BE68" s="234"/>
      <c r="BF68" s="234"/>
      <c r="BG68" s="234"/>
      <c r="BH68" s="234"/>
      <c r="BI68" s="234"/>
      <c r="BJ68" s="234"/>
      <c r="BK68" s="234"/>
      <c r="BL68" s="98"/>
      <c r="BM68" s="284"/>
    </row>
    <row r="69" spans="1:65" customFormat="1" ht="37.5" customHeight="1">
      <c r="A69" s="909"/>
      <c r="B69" s="861">
        <v>2</v>
      </c>
      <c r="C69" s="863" t="s">
        <v>552</v>
      </c>
      <c r="D69" s="858"/>
      <c r="E69" s="679">
        <f>5063.39287508288/100000</f>
        <v>5.0633928750828797E-2</v>
      </c>
      <c r="F69" s="865" t="s">
        <v>548</v>
      </c>
      <c r="G69" s="866"/>
      <c r="H69" s="867"/>
      <c r="I69" s="281" t="s">
        <v>549</v>
      </c>
      <c r="J69" s="281"/>
      <c r="K69" s="283" t="s">
        <v>361</v>
      </c>
      <c r="L69" s="290"/>
      <c r="M69" s="290"/>
      <c r="N69" s="290"/>
      <c r="O69" s="290"/>
      <c r="P69" s="290"/>
      <c r="Q69" s="290"/>
      <c r="R69" s="290"/>
      <c r="S69" s="290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34"/>
      <c r="BA69" s="234"/>
      <c r="BB69" s="234"/>
      <c r="BC69" s="234"/>
      <c r="BD69" s="234"/>
      <c r="BE69" s="234"/>
      <c r="BF69" s="234"/>
      <c r="BG69" s="234"/>
      <c r="BH69" s="234"/>
      <c r="BI69" s="234"/>
      <c r="BJ69" s="234"/>
      <c r="BK69" s="234"/>
      <c r="BL69" s="98"/>
      <c r="BM69" s="284"/>
    </row>
    <row r="70" spans="1:65" customFormat="1" ht="37.5" customHeight="1">
      <c r="A70" s="909"/>
      <c r="B70" s="862"/>
      <c r="C70" s="864"/>
      <c r="D70" s="858"/>
      <c r="E70" s="500"/>
      <c r="F70" s="868"/>
      <c r="G70" s="869"/>
      <c r="H70" s="870"/>
      <c r="I70" s="281"/>
      <c r="J70" s="281"/>
      <c r="K70" s="280" t="s">
        <v>362</v>
      </c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34"/>
      <c r="BA70" s="234"/>
      <c r="BB70" s="234"/>
      <c r="BC70" s="234"/>
      <c r="BD70" s="234"/>
      <c r="BE70" s="234"/>
      <c r="BF70" s="234"/>
      <c r="BG70" s="234"/>
      <c r="BH70" s="234"/>
      <c r="BI70" s="234"/>
      <c r="BJ70" s="234"/>
      <c r="BK70" s="234"/>
      <c r="BL70" s="98"/>
      <c r="BM70" s="284"/>
    </row>
    <row r="71" spans="1:65" customFormat="1" ht="37.5" customHeight="1">
      <c r="A71" s="909"/>
      <c r="B71" s="861">
        <v>3</v>
      </c>
      <c r="C71" s="863" t="s">
        <v>550</v>
      </c>
      <c r="D71" s="858"/>
      <c r="E71" s="679">
        <f>565600/100000</f>
        <v>5.6559999999999997</v>
      </c>
      <c r="F71" s="865" t="s">
        <v>551</v>
      </c>
      <c r="G71" s="866"/>
      <c r="H71" s="867"/>
      <c r="I71" s="281" t="s">
        <v>549</v>
      </c>
      <c r="J71" s="281"/>
      <c r="K71" s="283" t="s">
        <v>361</v>
      </c>
      <c r="L71" s="290"/>
      <c r="M71" s="290"/>
      <c r="N71" s="290"/>
      <c r="O71" s="290"/>
      <c r="P71" s="290"/>
      <c r="Q71" s="290"/>
      <c r="R71" s="290"/>
      <c r="S71" s="290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34"/>
      <c r="BA71" s="234"/>
      <c r="BB71" s="234"/>
      <c r="BC71" s="234"/>
      <c r="BD71" s="234"/>
      <c r="BE71" s="234"/>
      <c r="BF71" s="234"/>
      <c r="BG71" s="234"/>
      <c r="BH71" s="234"/>
      <c r="BI71" s="234"/>
      <c r="BJ71" s="234"/>
      <c r="BK71" s="234"/>
      <c r="BL71" s="98"/>
      <c r="BM71" s="284"/>
    </row>
    <row r="72" spans="1:65" customFormat="1" ht="37.5" customHeight="1">
      <c r="A72" s="910"/>
      <c r="B72" s="862"/>
      <c r="C72" s="864"/>
      <c r="D72" s="858"/>
      <c r="E72" s="500"/>
      <c r="F72" s="868"/>
      <c r="G72" s="869"/>
      <c r="H72" s="870"/>
      <c r="I72" s="281"/>
      <c r="J72" s="281"/>
      <c r="K72" s="280" t="s">
        <v>362</v>
      </c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34"/>
      <c r="BA72" s="234"/>
      <c r="BB72" s="234"/>
      <c r="BC72" s="234"/>
      <c r="BD72" s="234"/>
      <c r="BE72" s="234"/>
      <c r="BF72" s="234"/>
      <c r="BG72" s="234"/>
      <c r="BH72" s="234"/>
      <c r="BI72" s="234"/>
      <c r="BJ72" s="234"/>
      <c r="BK72" s="234"/>
      <c r="BL72" s="98"/>
      <c r="BM72" s="284"/>
    </row>
    <row r="73" spans="1:65" ht="37.5" customHeight="1">
      <c r="A73" s="677"/>
      <c r="B73" s="859">
        <v>4</v>
      </c>
      <c r="C73" s="845" t="s">
        <v>556</v>
      </c>
      <c r="D73" s="858"/>
      <c r="E73" s="655">
        <f>7386400/100000</f>
        <v>73.864000000000004</v>
      </c>
      <c r="F73" s="865" t="s">
        <v>557</v>
      </c>
      <c r="G73" s="866"/>
      <c r="H73" s="867"/>
      <c r="I73" s="496"/>
      <c r="J73" s="496"/>
      <c r="K73" s="351" t="s">
        <v>361</v>
      </c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34"/>
      <c r="AK73" s="234"/>
      <c r="AL73" s="234"/>
      <c r="AM73" s="234"/>
      <c r="AN73" s="234"/>
      <c r="AO73" s="234"/>
      <c r="AP73" s="234"/>
      <c r="AQ73" s="234"/>
      <c r="AR73" s="234"/>
      <c r="AS73" s="234"/>
      <c r="AT73" s="234"/>
      <c r="AU73" s="234"/>
      <c r="AV73" s="234"/>
      <c r="AW73" s="234"/>
      <c r="AX73" s="234"/>
      <c r="AY73" s="234"/>
      <c r="AZ73" s="234"/>
      <c r="BA73" s="234"/>
      <c r="BB73" s="234"/>
      <c r="BC73" s="234"/>
      <c r="BD73" s="234"/>
      <c r="BE73" s="284"/>
    </row>
    <row r="74" spans="1:65" ht="37.5" customHeight="1">
      <c r="A74" s="677"/>
      <c r="B74" s="860"/>
      <c r="C74" s="846"/>
      <c r="D74" s="858"/>
      <c r="E74" s="666"/>
      <c r="F74" s="868"/>
      <c r="G74" s="869"/>
      <c r="H74" s="870"/>
      <c r="I74" s="496"/>
      <c r="J74" s="496"/>
      <c r="K74" s="297" t="s">
        <v>362</v>
      </c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34"/>
      <c r="AK74" s="234"/>
      <c r="AL74" s="234"/>
      <c r="AM74" s="234"/>
      <c r="AN74" s="234"/>
      <c r="AO74" s="234"/>
      <c r="AP74" s="234"/>
      <c r="AQ74" s="234"/>
      <c r="AR74" s="234"/>
      <c r="AS74" s="234"/>
      <c r="AT74" s="234"/>
      <c r="AU74" s="234"/>
      <c r="AV74" s="234"/>
      <c r="AW74" s="234"/>
      <c r="AX74" s="234"/>
      <c r="AY74" s="234"/>
      <c r="AZ74" s="234"/>
      <c r="BA74" s="234"/>
      <c r="BB74" s="234"/>
      <c r="BC74" s="234"/>
      <c r="BD74" s="234"/>
      <c r="BE74" s="284"/>
    </row>
    <row r="75" spans="1:65" ht="37.5" customHeight="1">
      <c r="A75" s="677"/>
      <c r="B75" s="859">
        <v>5</v>
      </c>
      <c r="C75" s="845" t="s">
        <v>558</v>
      </c>
      <c r="D75" s="858"/>
      <c r="E75" s="655">
        <f>12060533/100000</f>
        <v>120.60533</v>
      </c>
      <c r="F75" s="920" t="s">
        <v>559</v>
      </c>
      <c r="G75" s="921"/>
      <c r="H75" s="922"/>
      <c r="I75" s="496"/>
      <c r="J75" s="496"/>
      <c r="K75" s="351" t="s">
        <v>361</v>
      </c>
      <c r="L75" s="292"/>
      <c r="M75" s="292"/>
      <c r="N75" s="292"/>
      <c r="O75" s="292"/>
      <c r="P75" s="292"/>
      <c r="Q75" s="292"/>
      <c r="R75" s="292"/>
      <c r="S75" s="292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  <c r="AR75" s="234"/>
      <c r="AS75" s="234"/>
      <c r="AT75" s="234"/>
      <c r="AU75" s="234"/>
      <c r="AV75" s="234"/>
      <c r="AW75" s="234"/>
      <c r="AX75" s="234"/>
      <c r="AY75" s="234"/>
      <c r="AZ75" s="234"/>
      <c r="BA75" s="234"/>
      <c r="BB75" s="234"/>
      <c r="BC75" s="234"/>
      <c r="BD75" s="234"/>
      <c r="BE75" s="284"/>
    </row>
    <row r="76" spans="1:65" ht="37.5" customHeight="1">
      <c r="A76" s="677"/>
      <c r="B76" s="860"/>
      <c r="C76" s="846"/>
      <c r="D76" s="858"/>
      <c r="E76" s="666"/>
      <c r="F76" s="923"/>
      <c r="G76" s="924"/>
      <c r="H76" s="925"/>
      <c r="I76" s="496"/>
      <c r="J76" s="496"/>
      <c r="K76" s="297" t="s">
        <v>362</v>
      </c>
      <c r="L76" s="292"/>
      <c r="M76" s="292"/>
      <c r="N76" s="292"/>
      <c r="O76" s="292"/>
      <c r="P76" s="292"/>
      <c r="Q76" s="292"/>
      <c r="R76" s="292"/>
      <c r="S76" s="292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34"/>
      <c r="AS76" s="234"/>
      <c r="AT76" s="234"/>
      <c r="AU76" s="234"/>
      <c r="AV76" s="234"/>
      <c r="AW76" s="234"/>
      <c r="AX76" s="234"/>
      <c r="AY76" s="234"/>
      <c r="AZ76" s="234"/>
      <c r="BA76" s="234"/>
      <c r="BB76" s="234"/>
      <c r="BC76" s="234"/>
      <c r="BD76" s="234"/>
      <c r="BE76" s="284"/>
    </row>
    <row r="77" spans="1:65" ht="37.5" customHeight="1">
      <c r="A77" s="677"/>
      <c r="B77" s="859">
        <v>6</v>
      </c>
      <c r="C77" s="845" t="s">
        <v>560</v>
      </c>
      <c r="D77" s="858"/>
      <c r="E77" s="655">
        <f>120658/100000</f>
        <v>1.20658</v>
      </c>
      <c r="F77" s="920" t="s">
        <v>561</v>
      </c>
      <c r="G77" s="921"/>
      <c r="H77" s="922"/>
      <c r="I77" s="496"/>
      <c r="J77" s="496"/>
      <c r="K77" s="351" t="s">
        <v>361</v>
      </c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34"/>
      <c r="AS77" s="234"/>
      <c r="AT77" s="234"/>
      <c r="AU77" s="234"/>
      <c r="AV77" s="234"/>
      <c r="AW77" s="234"/>
      <c r="AX77" s="234"/>
      <c r="AY77" s="234"/>
      <c r="AZ77" s="234"/>
      <c r="BA77" s="234"/>
      <c r="BB77" s="234"/>
      <c r="BC77" s="234"/>
      <c r="BD77" s="234"/>
      <c r="BE77" s="284"/>
    </row>
    <row r="78" spans="1:65" ht="37.5" customHeight="1">
      <c r="A78" s="677"/>
      <c r="B78" s="860"/>
      <c r="C78" s="846"/>
      <c r="D78" s="858"/>
      <c r="E78" s="666"/>
      <c r="F78" s="923"/>
      <c r="G78" s="924"/>
      <c r="H78" s="925"/>
      <c r="I78" s="496"/>
      <c r="J78" s="496"/>
      <c r="K78" s="297" t="s">
        <v>362</v>
      </c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234"/>
      <c r="BB78" s="234"/>
      <c r="BC78" s="234"/>
      <c r="BD78" s="234"/>
      <c r="BE78" s="284"/>
    </row>
    <row r="79" spans="1:65" ht="37.5" customHeight="1">
      <c r="A79" s="677"/>
      <c r="B79" s="859">
        <v>7</v>
      </c>
      <c r="C79" s="845" t="s">
        <v>562</v>
      </c>
      <c r="D79" s="858"/>
      <c r="E79" s="655">
        <f>655200/100000</f>
        <v>6.5519999999999996</v>
      </c>
      <c r="F79" s="920" t="s">
        <v>563</v>
      </c>
      <c r="G79" s="921"/>
      <c r="H79" s="922"/>
      <c r="I79" s="496"/>
      <c r="J79" s="496"/>
      <c r="K79" s="351" t="s">
        <v>361</v>
      </c>
      <c r="L79" s="292"/>
      <c r="M79" s="292"/>
      <c r="N79" s="292"/>
      <c r="O79" s="292"/>
      <c r="P79" s="292"/>
      <c r="Q79" s="292"/>
      <c r="R79" s="292"/>
      <c r="S79" s="292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4"/>
      <c r="BE79" s="284"/>
    </row>
    <row r="80" spans="1:65" ht="37.5" customHeight="1">
      <c r="A80" s="678"/>
      <c r="B80" s="860"/>
      <c r="C80" s="846"/>
      <c r="D80" s="858"/>
      <c r="E80" s="666"/>
      <c r="F80" s="923"/>
      <c r="G80" s="924"/>
      <c r="H80" s="925"/>
      <c r="I80" s="496"/>
      <c r="J80" s="496"/>
      <c r="K80" s="297" t="s">
        <v>362</v>
      </c>
      <c r="L80" s="292"/>
      <c r="M80" s="292"/>
      <c r="N80" s="292"/>
      <c r="O80" s="292"/>
      <c r="P80" s="292"/>
      <c r="Q80" s="292"/>
      <c r="R80" s="292"/>
      <c r="S80" s="292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84"/>
    </row>
    <row r="81" spans="1:58" ht="37.5" customHeight="1">
      <c r="A81" s="855"/>
      <c r="B81" s="859">
        <v>8</v>
      </c>
      <c r="C81" s="845" t="s">
        <v>564</v>
      </c>
      <c r="D81" s="858"/>
      <c r="E81" s="655">
        <f>5803560/100000</f>
        <v>58.035600000000002</v>
      </c>
      <c r="F81" s="920" t="s">
        <v>565</v>
      </c>
      <c r="G81" s="921"/>
      <c r="H81" s="922"/>
      <c r="I81" s="496"/>
      <c r="J81" s="498"/>
      <c r="K81" s="351" t="s">
        <v>361</v>
      </c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84"/>
      <c r="AG81" s="284"/>
      <c r="AH81" s="284"/>
      <c r="AI81" s="284"/>
      <c r="AJ81" s="284"/>
      <c r="AK81" s="284"/>
      <c r="AL81" s="284"/>
      <c r="AM81" s="284"/>
      <c r="AN81" s="284"/>
      <c r="AO81" s="284"/>
      <c r="AP81" s="284"/>
      <c r="AQ81" s="284"/>
      <c r="AR81" s="284"/>
      <c r="AS81" s="284"/>
      <c r="AT81" s="284"/>
      <c r="AU81" s="284"/>
      <c r="AV81" s="284"/>
      <c r="AW81" s="284"/>
      <c r="AX81" s="284"/>
      <c r="AY81" s="284"/>
      <c r="AZ81" s="284"/>
      <c r="BA81" s="284"/>
      <c r="BB81" s="284"/>
      <c r="BC81" s="284"/>
      <c r="BD81" s="284"/>
      <c r="BE81" s="284"/>
    </row>
    <row r="82" spans="1:58" ht="37.5" customHeight="1">
      <c r="A82" s="894"/>
      <c r="B82" s="860"/>
      <c r="C82" s="846"/>
      <c r="D82" s="858"/>
      <c r="E82" s="666"/>
      <c r="F82" s="923"/>
      <c r="G82" s="924"/>
      <c r="H82" s="925"/>
      <c r="I82" s="496"/>
      <c r="J82" s="496"/>
      <c r="K82" s="297" t="s">
        <v>362</v>
      </c>
      <c r="L82" s="292"/>
      <c r="M82" s="292"/>
      <c r="N82" s="292"/>
      <c r="O82" s="292"/>
      <c r="P82" s="292"/>
      <c r="Q82" s="292"/>
      <c r="R82" s="292"/>
      <c r="S82" s="292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234"/>
      <c r="BB82" s="234"/>
      <c r="BC82" s="234"/>
      <c r="BD82" s="234"/>
      <c r="BE82" s="284"/>
    </row>
    <row r="83" spans="1:58" ht="37.5" customHeight="1">
      <c r="A83" s="855"/>
      <c r="B83" s="859">
        <v>9</v>
      </c>
      <c r="C83" s="845"/>
      <c r="D83" s="858"/>
      <c r="E83" s="655"/>
      <c r="F83" s="911"/>
      <c r="G83" s="912"/>
      <c r="H83" s="913"/>
      <c r="I83" s="667"/>
      <c r="J83" s="498"/>
      <c r="K83" s="351" t="s">
        <v>361</v>
      </c>
      <c r="L83" s="292"/>
      <c r="M83" s="292"/>
      <c r="N83" s="292"/>
      <c r="O83" s="292"/>
      <c r="P83" s="292"/>
      <c r="Q83" s="284"/>
      <c r="R83" s="284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284"/>
      <c r="AJ83" s="284"/>
      <c r="AK83" s="284"/>
      <c r="AL83" s="284"/>
      <c r="AM83" s="284"/>
      <c r="AN83" s="284"/>
      <c r="AO83" s="284"/>
      <c r="AP83" s="284"/>
      <c r="AQ83" s="284"/>
      <c r="AR83" s="284"/>
      <c r="AS83" s="284"/>
      <c r="AT83" s="284"/>
      <c r="AU83" s="284"/>
      <c r="AV83" s="284"/>
      <c r="AW83" s="284"/>
      <c r="AX83" s="284"/>
      <c r="AY83" s="284"/>
      <c r="AZ83" s="284"/>
      <c r="BA83" s="284"/>
      <c r="BB83" s="284"/>
      <c r="BC83" s="284"/>
      <c r="BD83" s="284"/>
      <c r="BE83" s="284"/>
      <c r="BF83" s="668"/>
    </row>
    <row r="84" spans="1:58" ht="37.5" customHeight="1">
      <c r="A84" s="856"/>
      <c r="B84" s="917"/>
      <c r="C84" s="918"/>
      <c r="D84" s="858"/>
      <c r="E84" s="669"/>
      <c r="F84" s="914"/>
      <c r="G84" s="915"/>
      <c r="H84" s="916"/>
      <c r="I84" s="670"/>
      <c r="J84" s="670"/>
      <c r="K84" s="297" t="s">
        <v>362</v>
      </c>
      <c r="L84" s="671"/>
      <c r="M84" s="671"/>
      <c r="N84" s="671"/>
      <c r="O84" s="671"/>
      <c r="P84" s="671"/>
      <c r="Q84" s="607"/>
      <c r="R84" s="607"/>
      <c r="S84" s="607"/>
      <c r="T84" s="607"/>
      <c r="U84" s="607"/>
      <c r="V84" s="607"/>
      <c r="W84" s="440"/>
      <c r="X84" s="440"/>
      <c r="Y84" s="440"/>
      <c r="Z84" s="440"/>
      <c r="AA84" s="440"/>
      <c r="AB84" s="440"/>
      <c r="AC84" s="440"/>
      <c r="AD84" s="440"/>
      <c r="AE84" s="440"/>
      <c r="AF84" s="440"/>
      <c r="AG84" s="440"/>
      <c r="AH84" s="440"/>
      <c r="AI84" s="440"/>
      <c r="AJ84" s="440"/>
      <c r="AK84" s="440"/>
      <c r="AL84" s="440"/>
      <c r="AM84" s="440"/>
      <c r="AN84" s="440"/>
      <c r="AO84" s="440"/>
      <c r="AP84" s="440"/>
      <c r="AQ84" s="440"/>
      <c r="AR84" s="440"/>
      <c r="AS84" s="440"/>
      <c r="AT84" s="440"/>
      <c r="AU84" s="440"/>
      <c r="AV84" s="440"/>
      <c r="AW84" s="440"/>
      <c r="AX84" s="440"/>
      <c r="AY84" s="440"/>
      <c r="AZ84" s="440"/>
      <c r="BA84" s="440"/>
      <c r="BB84" s="440"/>
      <c r="BC84" s="440"/>
      <c r="BD84" s="672"/>
      <c r="BE84" s="673"/>
    </row>
    <row r="85" spans="1:58" ht="37.5" customHeight="1">
      <c r="A85" s="896" t="s">
        <v>535</v>
      </c>
      <c r="B85" s="897"/>
      <c r="C85" s="897"/>
      <c r="D85" s="897"/>
      <c r="E85" s="897"/>
      <c r="F85" s="897"/>
      <c r="G85" s="897"/>
      <c r="H85" s="897"/>
      <c r="I85" s="897"/>
      <c r="J85" s="898"/>
      <c r="K85" s="351" t="s">
        <v>361</v>
      </c>
      <c r="L85" s="902">
        <f>L67+M67+N67+O67+L69+M69+N69+O69+L71+M71+N71+O71+L73+M73+N73+O73+L75+M75+N75+O75+L77+M77+N77+O77+L79+M79+N79+O79+L81+M81+N81+O81+L83+M83+N83+O83</f>
        <v>0</v>
      </c>
      <c r="M85" s="902"/>
      <c r="N85" s="902"/>
      <c r="O85" s="902"/>
      <c r="P85" s="902">
        <f>P67+Q67+R67+S67+P69+Q69+R69+S69+P71+Q71+R71+S71+P73+Q73+R73+S73+P75+Q75+R75+S75+P77+Q77+R77+S77+P79+Q79+R79+S79+P81+Q81+R81+S81+P83+Q83+R83+S83</f>
        <v>0</v>
      </c>
      <c r="Q85" s="902"/>
      <c r="R85" s="902"/>
      <c r="S85" s="902"/>
      <c r="T85" s="902">
        <f>T67+U67+V67+W67+T69+U69+V69+W69+T71+U71+V71+W71+T73+U73+V73+W73+T75+U75+V75+W75+T77+U77+V77+W77+T79+U79+V79+W79+T81+U81+V81+W81+T83+U83+V83+W83</f>
        <v>0</v>
      </c>
      <c r="U85" s="902"/>
      <c r="V85" s="902"/>
      <c r="W85" s="902"/>
      <c r="X85" s="902">
        <f>X67+Y67+Z67+AA67+X69+Y69+Z69+AA69+X71+Y71+Z71+AA71+X73+Y73+Z73+AA73+X75+Y75+Z75+AA75+X77+Y77+Z77+AA77+X79+Y79+Z79+AA79+X81+Y81+Z81+AA81+X83+Y83+Z83+AA83</f>
        <v>0</v>
      </c>
      <c r="Y85" s="902"/>
      <c r="Z85" s="902"/>
      <c r="AA85" s="902"/>
      <c r="AB85" s="902">
        <f>AB67+AC67+AD67+AE67+AB69+AC69+AD69+AE69+AB71+AC71+AD71+AE71+AB73+AC73+AD73+AE73+AB75+AC75+AD75+AE75+AB77+AC77+AD77+AE77+AB79+AC79+AD79+AE79+AB81+AC81+AD81+AE81+AB83+AC83+AD83+AE83</f>
        <v>0</v>
      </c>
      <c r="AC85" s="902"/>
      <c r="AD85" s="902"/>
      <c r="AE85" s="902"/>
      <c r="AF85" s="902">
        <f>AF67+AG67+AH67+AI67+AF69+AG69+AH69+AI69+AF71+AG71+AH71+AI71+AF73+AG73+AH73+AI73+AF75+AG75+AH75+AI75+AF77+AG77+AH77+AI77+AF79+AG79+AH79+AI79+AF81+AG81+AH81+AI81+AF83+AG83+AH83+AI83</f>
        <v>0</v>
      </c>
      <c r="AG85" s="902"/>
      <c r="AH85" s="902"/>
      <c r="AI85" s="902"/>
      <c r="AJ85" s="902">
        <f>AJ67+AK67+AL67+AM67+AJ69+AK69+AL69+AM69+AJ71+AK71+AL71+AM71+AJ73+AK73+AL73+AM73+AJ75+AK75+AL75+AM75+AJ77+AK77+AL77+AM77+AJ79+AK79+AL79+AM79+AJ81+AK81+AL81+AM81+AJ83+AK83+AL83+AM83</f>
        <v>0</v>
      </c>
      <c r="AK85" s="902"/>
      <c r="AL85" s="902"/>
      <c r="AM85" s="902"/>
      <c r="AN85" s="902">
        <f>AN67+AO67+AP67+AQ67+AN69+AO69+AP69+AQ69+AN71+AO71+AP71+AQ71+AN73+AO73+AP73+AQ73+AN75+AO75+AP75+AQ75+AN77+AO77+AP77+AQ77+AN79+AO79+AP79+AQ79+AN81+AO81+AP81+AQ81+AN83+AO83+AP83+AQ83</f>
        <v>0</v>
      </c>
      <c r="AO85" s="902"/>
      <c r="AP85" s="902"/>
      <c r="AQ85" s="902"/>
      <c r="AR85" s="902">
        <f>AR67+AS67+AT67+AU67+AR69+AS69+AT69+AU69+AR71+AS71+AT71+AU71+AR73+AS73+AT73+AU73+AR75+AS75+AT75+AU75+AR77+AS77+AT77+AU77+AR79+AS79+AT79+AU79+AR81+AS81+AT81+AU81+AR83+AS83+AT83+AU83</f>
        <v>0</v>
      </c>
      <c r="AS85" s="902"/>
      <c r="AT85" s="902"/>
      <c r="AU85" s="902"/>
      <c r="AV85" s="902">
        <f>AV67+AW67+AX67+AY67+AV69+AW69+AX69+AY69+AV71+AW71+AX71+AY71+AV73+AW73+AX73+AY73+AV75+AW75+AX75+AY75+AV77+AW77+AX77+AY77+AV79+AW79+AX79+AY79+AV81+AW81+AX81+AY81+AV83+AW83+AX83+AY83</f>
        <v>0</v>
      </c>
      <c r="AW85" s="902"/>
      <c r="AX85" s="902"/>
      <c r="AY85" s="902"/>
      <c r="AZ85" s="902">
        <f>AZ67+BA67+BB67+BC67+AZ69+BA69+BB69+BC69+AZ71+BA71+BB71+BC71+AZ73+BA73+BB73+BC73+AZ75+BA75+BB75+BC75+AZ77+BA77+BB77+BC77+AZ79+BA79+BB79+BC79+AZ81+BA81+BB81+BC81+AZ83+BA83+BB83+BC83</f>
        <v>0</v>
      </c>
      <c r="BA85" s="902"/>
      <c r="BB85" s="902"/>
      <c r="BC85" s="902"/>
      <c r="BD85" s="608">
        <f>SUM(L85:BC85)</f>
        <v>0</v>
      </c>
      <c r="BE85" s="234"/>
    </row>
    <row r="86" spans="1:58" ht="37.5" customHeight="1">
      <c r="A86" s="896" t="s">
        <v>536</v>
      </c>
      <c r="B86" s="897"/>
      <c r="C86" s="897"/>
      <c r="D86" s="897"/>
      <c r="E86" s="897"/>
      <c r="F86" s="897"/>
      <c r="G86" s="897"/>
      <c r="H86" s="897"/>
      <c r="I86" s="897"/>
      <c r="J86" s="898"/>
      <c r="K86" s="297" t="s">
        <v>362</v>
      </c>
      <c r="L86" s="903">
        <f>L68+M68+N68+O68+L70+M70+N70+O70+L72+M72+N72+O72+L74+M74+N74+O74+L76+M76+N76+O76+L78+M78+N78+O78+L80+M80+N80+O80+L82+M82+N82+O82+L84+M84+N84+O84</f>
        <v>0</v>
      </c>
      <c r="M86" s="904"/>
      <c r="N86" s="904"/>
      <c r="O86" s="905"/>
      <c r="P86" s="903">
        <f>P68+Q68+R68+S68+P70+Q70+R70+S70+P72+Q72+R72+S72+P74+Q74+R74+S74+P76+Q76+R76+S76+P78+Q78+R78+S78+P80+Q80+R80+S80+P82+Q82+R82+S82+P84+Q84+R84+S84</f>
        <v>0</v>
      </c>
      <c r="Q86" s="904"/>
      <c r="R86" s="904"/>
      <c r="S86" s="905"/>
      <c r="T86" s="903">
        <f>T68+U68+V68+W68+T70+U70+V70+W70+T72+U72+V72+W72+T74+U74+V74+W74+T76+U76+V76+W76+T78+U78+V78+W78+T80+U80+V80+W80+T82+U82+V82+W82+T84+U84+V84+W84</f>
        <v>0</v>
      </c>
      <c r="U86" s="904"/>
      <c r="V86" s="904"/>
      <c r="W86" s="905"/>
      <c r="X86" s="903">
        <f>X68+Y68+Z68+AA68+X70+Y70+Z70+AA70+X72+Y72+Z72+AA72+X74+Y74+Z74+AA74+X76+Y76+Z76+AA76+X78+Y78+Z78+AA78+X80+Y80+Z80+AA80+X82+Y82+Z82+AA82+X84+Y84+Z84+AA84</f>
        <v>0</v>
      </c>
      <c r="Y86" s="904"/>
      <c r="Z86" s="904"/>
      <c r="AA86" s="905"/>
      <c r="AB86" s="903">
        <f>AB68+AC68+AD68+AE68+AB70+AC70+AD70+AE70+AB72+AC72+AD72+AE72+AB74+AC74+AD74+AE74+AB76+AC76+AD76+AE76+AB78+AC78+AD78+AE78+AB80+AC80+AD80+AE80+AB82+AC82+AD82+AE82+AB84+AC84+AD84+AE84</f>
        <v>0</v>
      </c>
      <c r="AC86" s="904"/>
      <c r="AD86" s="904"/>
      <c r="AE86" s="905"/>
      <c r="AF86" s="903">
        <f>AF68+AG68+AH68+AI68+AF70+AG70+AH70+AI70+AF72+AG72+AH72+AI72+AF74+AG74+AH74+AI74+AF76+AG76+AH76+AI76+AF78+AG78+AH78+AI78+AF80+AG80+AH80+AI80+AF82+AG82+AH82+AI82+AF84+AG84+AH84+AI84</f>
        <v>0</v>
      </c>
      <c r="AG86" s="904"/>
      <c r="AH86" s="904"/>
      <c r="AI86" s="905"/>
      <c r="AJ86" s="903">
        <f>AJ68+AK68+AL68+AM68+AJ70+AK70+AL70+AM70+AJ72+AK72+AL72+AM72+AJ74+AK74+AL74+AM74+AJ76+AK76+AL76+AM76+AJ78+AK78+AL78+AM78+AJ80+AK80+AL80+AM80+AJ82+AK82+AL82+AM82+AJ84+AK84+AL84+AM84</f>
        <v>0</v>
      </c>
      <c r="AK86" s="904"/>
      <c r="AL86" s="904"/>
      <c r="AM86" s="905"/>
      <c r="AN86" s="903">
        <f>AN68+AO68+AP68+AQ68+AN70+AO70+AP70+AQ70+AN72+AO72+AP72+AQ72+AN74+AO74+AP74+AQ74+AN76+AO76+AP76+AQ76+AN78+AO78+AP78+AQ78+AN80+AO80+AP80+AQ80+AN82+AO82+AP82+AQ82+AN84+AO84+AP84+AQ84</f>
        <v>0</v>
      </c>
      <c r="AO86" s="904"/>
      <c r="AP86" s="904"/>
      <c r="AQ86" s="905"/>
      <c r="AR86" s="903">
        <f>AR68+AS68+AT68+AU68+AR70+AS70+AT70+AU70+AR72+AS72+AT72+AU72+AR74+AS74+AT74+AU74+AR76+AS76+AT76+AU76+AR78+AS78+AT78+AU78+AR80+AS80+AT80+AU80+AR82+AS82+AT82+AU82+AR84+AS84+AT84+AU84</f>
        <v>0</v>
      </c>
      <c r="AS86" s="904"/>
      <c r="AT86" s="904"/>
      <c r="AU86" s="905"/>
      <c r="AV86" s="903">
        <f>AV68+AW68+AX68+AY68+AV70+AW70+AX70+AY70+AV72+AW72+AX72+AY72+AV74+AW74+AX74+AY74+AV76+AW76+AX76+AY76+AV78+AW78+AX78+AY78+AV80+AW80+AX80+AY80+AV82+AW82+AX82+AY82+AV84+AW84+AX84+AY84</f>
        <v>0</v>
      </c>
      <c r="AW86" s="904"/>
      <c r="AX86" s="904"/>
      <c r="AY86" s="905"/>
      <c r="AZ86" s="903">
        <f>AZ68+BA68+BB68+BC68+AZ70+BA70+BB70+BC70+AZ72+BA72+BB72+BC72+AZ74+BA74+BB74+BC74+AZ76+BA76+BB76+BC76+AZ78+BA78+BB78+BC78+AZ80+BA80+BB80+BC80+AZ82+BA82+BB82+BC82+AZ84+BA84+BB84+BC84</f>
        <v>0</v>
      </c>
      <c r="BA86" s="904"/>
      <c r="BB86" s="904"/>
      <c r="BC86" s="905"/>
      <c r="BD86" s="674">
        <f>SUM(L86:BC86)</f>
        <v>0</v>
      </c>
      <c r="BE86" s="234"/>
    </row>
    <row r="87" spans="1:58" ht="41.25" customHeight="1">
      <c r="A87" s="919" t="s">
        <v>537</v>
      </c>
      <c r="B87" s="919"/>
      <c r="C87" s="919"/>
      <c r="D87" s="919"/>
      <c r="E87" s="919"/>
      <c r="F87" s="919"/>
      <c r="G87" s="919"/>
      <c r="H87" s="919"/>
      <c r="I87" s="919"/>
      <c r="J87" s="919"/>
      <c r="K87" s="675" t="s">
        <v>361</v>
      </c>
      <c r="L87" s="902">
        <f>L85+L64+L47</f>
        <v>0</v>
      </c>
      <c r="M87" s="902"/>
      <c r="N87" s="902"/>
      <c r="O87" s="902"/>
      <c r="P87" s="902">
        <f>P85+P64+P47</f>
        <v>0</v>
      </c>
      <c r="Q87" s="902"/>
      <c r="R87" s="902"/>
      <c r="S87" s="902"/>
      <c r="T87" s="902">
        <f>T85+T64+T47</f>
        <v>0</v>
      </c>
      <c r="U87" s="902"/>
      <c r="V87" s="902"/>
      <c r="W87" s="902"/>
      <c r="X87" s="902">
        <f>X85+X64+X47</f>
        <v>0</v>
      </c>
      <c r="Y87" s="902"/>
      <c r="Z87" s="902"/>
      <c r="AA87" s="902"/>
      <c r="AB87" s="902">
        <f>AB85+AB64+AB47</f>
        <v>0</v>
      </c>
      <c r="AC87" s="902"/>
      <c r="AD87" s="902"/>
      <c r="AE87" s="902"/>
      <c r="AF87" s="902">
        <f>AF85+AF64+AF47</f>
        <v>0</v>
      </c>
      <c r="AG87" s="902"/>
      <c r="AH87" s="902"/>
      <c r="AI87" s="902"/>
      <c r="AJ87" s="902">
        <f>AJ85+AJ64+AJ47</f>
        <v>0</v>
      </c>
      <c r="AK87" s="902"/>
      <c r="AL87" s="902"/>
      <c r="AM87" s="902"/>
      <c r="AN87" s="902">
        <f>AN85+AN64+AN47</f>
        <v>0</v>
      </c>
      <c r="AO87" s="902"/>
      <c r="AP87" s="902"/>
      <c r="AQ87" s="902"/>
      <c r="AR87" s="902">
        <f>AR85+AR64+AR47</f>
        <v>0</v>
      </c>
      <c r="AS87" s="902"/>
      <c r="AT87" s="902"/>
      <c r="AU87" s="902"/>
      <c r="AV87" s="902">
        <f>AV85+AV64+AV47</f>
        <v>0</v>
      </c>
      <c r="AW87" s="902"/>
      <c r="AX87" s="902"/>
      <c r="AY87" s="902"/>
      <c r="AZ87" s="902">
        <f>AZ85+AZ64+AZ47</f>
        <v>0</v>
      </c>
      <c r="BA87" s="902"/>
      <c r="BB87" s="902"/>
      <c r="BC87" s="902"/>
      <c r="BD87" s="608">
        <f>SUM(L87:BC87)</f>
        <v>0</v>
      </c>
      <c r="BE87" s="234"/>
    </row>
    <row r="88" spans="1:58" ht="42.75" customHeight="1">
      <c r="A88" s="929" t="s">
        <v>538</v>
      </c>
      <c r="B88" s="929"/>
      <c r="C88" s="929"/>
      <c r="D88" s="929"/>
      <c r="E88" s="929"/>
      <c r="F88" s="929"/>
      <c r="G88" s="929"/>
      <c r="H88" s="929"/>
      <c r="I88" s="929"/>
      <c r="J88" s="929"/>
      <c r="K88" s="676" t="s">
        <v>362</v>
      </c>
      <c r="L88" s="903">
        <f>L86+L65+L48</f>
        <v>0</v>
      </c>
      <c r="M88" s="904"/>
      <c r="N88" s="904"/>
      <c r="O88" s="905"/>
      <c r="P88" s="903">
        <f>P86+P65+P48</f>
        <v>0</v>
      </c>
      <c r="Q88" s="904"/>
      <c r="R88" s="904"/>
      <c r="S88" s="905"/>
      <c r="T88" s="903">
        <f>T86+T65+T48</f>
        <v>0</v>
      </c>
      <c r="U88" s="904"/>
      <c r="V88" s="904"/>
      <c r="W88" s="905"/>
      <c r="X88" s="903">
        <f>X86+X65+X48</f>
        <v>0</v>
      </c>
      <c r="Y88" s="904"/>
      <c r="Z88" s="904"/>
      <c r="AA88" s="905"/>
      <c r="AB88" s="903">
        <f>AB86+AB65+AB48</f>
        <v>0</v>
      </c>
      <c r="AC88" s="904"/>
      <c r="AD88" s="904"/>
      <c r="AE88" s="905"/>
      <c r="AF88" s="903">
        <f>AF86+AF65+AF48</f>
        <v>0</v>
      </c>
      <c r="AG88" s="904"/>
      <c r="AH88" s="904"/>
      <c r="AI88" s="905"/>
      <c r="AJ88" s="903">
        <f>AJ86+AJ65+AJ48</f>
        <v>0</v>
      </c>
      <c r="AK88" s="904"/>
      <c r="AL88" s="904"/>
      <c r="AM88" s="905"/>
      <c r="AN88" s="903">
        <f>AN86+AN65+AN48</f>
        <v>0</v>
      </c>
      <c r="AO88" s="904"/>
      <c r="AP88" s="904"/>
      <c r="AQ88" s="905"/>
      <c r="AR88" s="903">
        <f>AR86+AR65+AR48</f>
        <v>0</v>
      </c>
      <c r="AS88" s="904"/>
      <c r="AT88" s="904"/>
      <c r="AU88" s="905"/>
      <c r="AV88" s="903">
        <f>AV86+AV65+AV48</f>
        <v>0</v>
      </c>
      <c r="AW88" s="904"/>
      <c r="AX88" s="904"/>
      <c r="AY88" s="905"/>
      <c r="AZ88" s="903">
        <f>AZ86+AZ65+AZ48</f>
        <v>0</v>
      </c>
      <c r="BA88" s="904"/>
      <c r="BB88" s="904"/>
      <c r="BC88" s="905"/>
      <c r="BD88" s="674">
        <f>SUM(L88:BC88)</f>
        <v>0</v>
      </c>
      <c r="BE88" s="234"/>
    </row>
  </sheetData>
  <mergeCells count="315">
    <mergeCell ref="AZ85:BC85"/>
    <mergeCell ref="F73:H74"/>
    <mergeCell ref="F75:H76"/>
    <mergeCell ref="F77:H78"/>
    <mergeCell ref="F79:H80"/>
    <mergeCell ref="F81:H82"/>
    <mergeCell ref="AV86:AY86"/>
    <mergeCell ref="AZ88:BC88"/>
    <mergeCell ref="I58:I63"/>
    <mergeCell ref="AZ87:BC87"/>
    <mergeCell ref="P88:S88"/>
    <mergeCell ref="T88:W88"/>
    <mergeCell ref="X88:AA88"/>
    <mergeCell ref="AB88:AE88"/>
    <mergeCell ref="AF88:AI88"/>
    <mergeCell ref="AJ88:AM88"/>
    <mergeCell ref="AN88:AQ88"/>
    <mergeCell ref="A88:J88"/>
    <mergeCell ref="L88:O88"/>
    <mergeCell ref="P87:S87"/>
    <mergeCell ref="T87:W87"/>
    <mergeCell ref="X87:AA87"/>
    <mergeCell ref="AR88:AU88"/>
    <mergeCell ref="AV88:AY88"/>
    <mergeCell ref="AV87:AY87"/>
    <mergeCell ref="B73:B74"/>
    <mergeCell ref="C73:C74"/>
    <mergeCell ref="A67:A72"/>
    <mergeCell ref="B75:B76"/>
    <mergeCell ref="C75:C76"/>
    <mergeCell ref="B77:B78"/>
    <mergeCell ref="F83:H84"/>
    <mergeCell ref="B83:B84"/>
    <mergeCell ref="C83:C84"/>
    <mergeCell ref="B79:B80"/>
    <mergeCell ref="A87:J87"/>
    <mergeCell ref="A85:J85"/>
    <mergeCell ref="A86:J86"/>
    <mergeCell ref="AR85:AU85"/>
    <mergeCell ref="AV85:AY85"/>
    <mergeCell ref="P86:S86"/>
    <mergeCell ref="T86:W86"/>
    <mergeCell ref="X86:AA86"/>
    <mergeCell ref="AB65:AE65"/>
    <mergeCell ref="AF65:AI65"/>
    <mergeCell ref="AJ65:AM65"/>
    <mergeCell ref="AN65:AQ65"/>
    <mergeCell ref="AR65:AU65"/>
    <mergeCell ref="AB87:AE87"/>
    <mergeCell ref="AF87:AI87"/>
    <mergeCell ref="AJ87:AM87"/>
    <mergeCell ref="AN87:AQ87"/>
    <mergeCell ref="AR87:AU87"/>
    <mergeCell ref="L87:O87"/>
    <mergeCell ref="C77:C78"/>
    <mergeCell ref="F71:H72"/>
    <mergeCell ref="L85:O85"/>
    <mergeCell ref="L86:O86"/>
    <mergeCell ref="C71:C72"/>
    <mergeCell ref="A66:BD66"/>
    <mergeCell ref="AV65:AY65"/>
    <mergeCell ref="AZ65:BC65"/>
    <mergeCell ref="T65:W65"/>
    <mergeCell ref="AZ86:BC86"/>
    <mergeCell ref="P85:S85"/>
    <mergeCell ref="T85:W85"/>
    <mergeCell ref="X85:AA85"/>
    <mergeCell ref="AB85:AE85"/>
    <mergeCell ref="AF85:AI85"/>
    <mergeCell ref="AJ85:AM85"/>
    <mergeCell ref="AN85:AQ85"/>
    <mergeCell ref="AB86:AE86"/>
    <mergeCell ref="AF86:AI86"/>
    <mergeCell ref="AJ86:AM86"/>
    <mergeCell ref="AN86:AQ86"/>
    <mergeCell ref="AR86:AU86"/>
    <mergeCell ref="X65:AA65"/>
    <mergeCell ref="P48:S48"/>
    <mergeCell ref="T48:W48"/>
    <mergeCell ref="X48:AA48"/>
    <mergeCell ref="AB48:AE48"/>
    <mergeCell ref="AF48:AI48"/>
    <mergeCell ref="AJ48:AM48"/>
    <mergeCell ref="AN48:AQ48"/>
    <mergeCell ref="AR48:AU48"/>
    <mergeCell ref="AZ48:BC48"/>
    <mergeCell ref="A2:F2"/>
    <mergeCell ref="G2:AZ2"/>
    <mergeCell ref="B5:B6"/>
    <mergeCell ref="C5:C6"/>
    <mergeCell ref="D5:D6"/>
    <mergeCell ref="T47:W47"/>
    <mergeCell ref="J3:J4"/>
    <mergeCell ref="AB64:AE64"/>
    <mergeCell ref="AF64:AI64"/>
    <mergeCell ref="AJ64:AM64"/>
    <mergeCell ref="AN64:AQ64"/>
    <mergeCell ref="A64:J64"/>
    <mergeCell ref="T64:W64"/>
    <mergeCell ref="X47:AA47"/>
    <mergeCell ref="AB47:AE47"/>
    <mergeCell ref="AV48:AY48"/>
    <mergeCell ref="AR64:AU64"/>
    <mergeCell ref="L64:O64"/>
    <mergeCell ref="AV64:AY64"/>
    <mergeCell ref="AZ64:BC64"/>
    <mergeCell ref="A47:J47"/>
    <mergeCell ref="A48:J48"/>
    <mergeCell ref="L47:O47"/>
    <mergeCell ref="AZ47:BC47"/>
    <mergeCell ref="L48:O48"/>
    <mergeCell ref="X64:AA64"/>
    <mergeCell ref="B7:B8"/>
    <mergeCell ref="AV3:AY3"/>
    <mergeCell ref="F3:H4"/>
    <mergeCell ref="F5:H5"/>
    <mergeCell ref="A81:A82"/>
    <mergeCell ref="B81:B82"/>
    <mergeCell ref="C81:C82"/>
    <mergeCell ref="AF47:AI47"/>
    <mergeCell ref="A3:A4"/>
    <mergeCell ref="L65:O65"/>
    <mergeCell ref="P64:S64"/>
    <mergeCell ref="P65:S65"/>
    <mergeCell ref="P47:S47"/>
    <mergeCell ref="B71:B72"/>
    <mergeCell ref="A65:J65"/>
    <mergeCell ref="B3:B4"/>
    <mergeCell ref="C3:C4"/>
    <mergeCell ref="D3:D4"/>
    <mergeCell ref="E3:E4"/>
    <mergeCell ref="I5:I6"/>
    <mergeCell ref="F6:H6"/>
    <mergeCell ref="C7:C8"/>
    <mergeCell ref="D7:D8"/>
    <mergeCell ref="B13:B14"/>
    <mergeCell ref="C13:C14"/>
    <mergeCell ref="D13:D14"/>
    <mergeCell ref="F13:H13"/>
    <mergeCell ref="I13:I14"/>
    <mergeCell ref="F14:H14"/>
    <mergeCell ref="I9:I10"/>
    <mergeCell ref="F10:H10"/>
    <mergeCell ref="I7:I8"/>
    <mergeCell ref="F12:H12"/>
    <mergeCell ref="D11:D12"/>
    <mergeCell ref="F11:H11"/>
    <mergeCell ref="I11:I12"/>
    <mergeCell ref="F7:H7"/>
    <mergeCell ref="C11:C12"/>
    <mergeCell ref="F8:H8"/>
    <mergeCell ref="B9:B10"/>
    <mergeCell ref="C9:C10"/>
    <mergeCell ref="D9:D10"/>
    <mergeCell ref="F9:H9"/>
    <mergeCell ref="B11:B12"/>
    <mergeCell ref="B17:B18"/>
    <mergeCell ref="C17:C18"/>
    <mergeCell ref="D17:D18"/>
    <mergeCell ref="F17:H17"/>
    <mergeCell ref="I17:I18"/>
    <mergeCell ref="F18:H18"/>
    <mergeCell ref="B15:B16"/>
    <mergeCell ref="C15:C16"/>
    <mergeCell ref="D15:D16"/>
    <mergeCell ref="F15:H15"/>
    <mergeCell ref="I15:I16"/>
    <mergeCell ref="F16:H16"/>
    <mergeCell ref="B19:B20"/>
    <mergeCell ref="C19:C20"/>
    <mergeCell ref="D19:D20"/>
    <mergeCell ref="F19:H19"/>
    <mergeCell ref="B21:B22"/>
    <mergeCell ref="C21:C22"/>
    <mergeCell ref="D21:D22"/>
    <mergeCell ref="F21:H21"/>
    <mergeCell ref="I19:I20"/>
    <mergeCell ref="F20:H20"/>
    <mergeCell ref="I25:I26"/>
    <mergeCell ref="F26:H26"/>
    <mergeCell ref="I21:I22"/>
    <mergeCell ref="F22:H22"/>
    <mergeCell ref="D23:D24"/>
    <mergeCell ref="F23:H23"/>
    <mergeCell ref="I23:I24"/>
    <mergeCell ref="F24:H24"/>
    <mergeCell ref="B23:B24"/>
    <mergeCell ref="C23:C24"/>
    <mergeCell ref="B27:B28"/>
    <mergeCell ref="C27:C28"/>
    <mergeCell ref="D27:D28"/>
    <mergeCell ref="F27:H27"/>
    <mergeCell ref="F28:H28"/>
    <mergeCell ref="B25:B26"/>
    <mergeCell ref="C25:C26"/>
    <mergeCell ref="D25:D26"/>
    <mergeCell ref="F25:H25"/>
    <mergeCell ref="I3:I4"/>
    <mergeCell ref="A1:BD1"/>
    <mergeCell ref="C45:C46"/>
    <mergeCell ref="D45:D46"/>
    <mergeCell ref="F45:H45"/>
    <mergeCell ref="F46:H46"/>
    <mergeCell ref="F36:H36"/>
    <mergeCell ref="B37:B38"/>
    <mergeCell ref="AZ3:BC3"/>
    <mergeCell ref="F43:H43"/>
    <mergeCell ref="F37:H37"/>
    <mergeCell ref="B35:B36"/>
    <mergeCell ref="C35:C36"/>
    <mergeCell ref="D35:D36"/>
    <mergeCell ref="F35:H35"/>
    <mergeCell ref="F40:H40"/>
    <mergeCell ref="I35:I36"/>
    <mergeCell ref="I39:I40"/>
    <mergeCell ref="F39:H39"/>
    <mergeCell ref="C37:C38"/>
    <mergeCell ref="D37:D38"/>
    <mergeCell ref="B33:B34"/>
    <mergeCell ref="C33:C34"/>
    <mergeCell ref="D33:D34"/>
    <mergeCell ref="BE2:BE3"/>
    <mergeCell ref="L3:O3"/>
    <mergeCell ref="P3:S3"/>
    <mergeCell ref="T3:W3"/>
    <mergeCell ref="X3:AA3"/>
    <mergeCell ref="AB3:AE3"/>
    <mergeCell ref="AF3:AI3"/>
    <mergeCell ref="AJ3:AM3"/>
    <mergeCell ref="BD2:BD3"/>
    <mergeCell ref="AN3:AQ3"/>
    <mergeCell ref="AR3:AU3"/>
    <mergeCell ref="AV47:AY47"/>
    <mergeCell ref="I56:I57"/>
    <mergeCell ref="F57:H57"/>
    <mergeCell ref="A83:A84"/>
    <mergeCell ref="D67:D84"/>
    <mergeCell ref="F62:H62"/>
    <mergeCell ref="B60:B61"/>
    <mergeCell ref="F60:H60"/>
    <mergeCell ref="C62:C63"/>
    <mergeCell ref="B58:B59"/>
    <mergeCell ref="C58:C59"/>
    <mergeCell ref="B56:B57"/>
    <mergeCell ref="F63:H63"/>
    <mergeCell ref="B67:B68"/>
    <mergeCell ref="C67:C68"/>
    <mergeCell ref="B69:B70"/>
    <mergeCell ref="C69:C70"/>
    <mergeCell ref="C79:C80"/>
    <mergeCell ref="B62:B63"/>
    <mergeCell ref="F69:H70"/>
    <mergeCell ref="F67:H68"/>
    <mergeCell ref="F52:H53"/>
    <mergeCell ref="I54:I55"/>
    <mergeCell ref="D50:D51"/>
    <mergeCell ref="B52:B53"/>
    <mergeCell ref="C52:C53"/>
    <mergeCell ref="C56:C57"/>
    <mergeCell ref="B54:B55"/>
    <mergeCell ref="A5:A46"/>
    <mergeCell ref="I37:I38"/>
    <mergeCell ref="F38:H38"/>
    <mergeCell ref="F41:H41"/>
    <mergeCell ref="F42:H42"/>
    <mergeCell ref="D52:D53"/>
    <mergeCell ref="C54:C55"/>
    <mergeCell ref="I31:I32"/>
    <mergeCell ref="F32:H32"/>
    <mergeCell ref="I33:I34"/>
    <mergeCell ref="F34:H34"/>
    <mergeCell ref="D31:D32"/>
    <mergeCell ref="I29:I30"/>
    <mergeCell ref="F30:H30"/>
    <mergeCell ref="I27:I28"/>
    <mergeCell ref="F33:H33"/>
    <mergeCell ref="B31:B32"/>
    <mergeCell ref="C31:C32"/>
    <mergeCell ref="F31:H31"/>
    <mergeCell ref="F29:H29"/>
    <mergeCell ref="B41:B42"/>
    <mergeCell ref="C41:C42"/>
    <mergeCell ref="D41:D42"/>
    <mergeCell ref="B39:B40"/>
    <mergeCell ref="C39:C40"/>
    <mergeCell ref="D39:D40"/>
    <mergeCell ref="C43:C44"/>
    <mergeCell ref="B29:B30"/>
    <mergeCell ref="AJ47:AM47"/>
    <mergeCell ref="C29:C30"/>
    <mergeCell ref="D29:D30"/>
    <mergeCell ref="AN47:AQ47"/>
    <mergeCell ref="AR47:AU47"/>
    <mergeCell ref="B43:B44"/>
    <mergeCell ref="D43:D44"/>
    <mergeCell ref="D62:D63"/>
    <mergeCell ref="F61:H61"/>
    <mergeCell ref="D56:D57"/>
    <mergeCell ref="F56:H56"/>
    <mergeCell ref="B45:B46"/>
    <mergeCell ref="C60:C61"/>
    <mergeCell ref="D60:D61"/>
    <mergeCell ref="D58:D59"/>
    <mergeCell ref="A49:BD49"/>
    <mergeCell ref="I50:I51"/>
    <mergeCell ref="D54:D55"/>
    <mergeCell ref="F54:H55"/>
    <mergeCell ref="I52:I53"/>
    <mergeCell ref="F44:H44"/>
    <mergeCell ref="F50:H51"/>
    <mergeCell ref="A50:A63"/>
    <mergeCell ref="B50:B51"/>
    <mergeCell ref="F58:H58"/>
    <mergeCell ref="F59:H59"/>
    <mergeCell ref="C50:C51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  <colBreaks count="1" manualBreakCount="1">
    <brk id="5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N37"/>
  <sheetViews>
    <sheetView workbookViewId="0">
      <selection activeCell="N7" sqref="N7"/>
    </sheetView>
  </sheetViews>
  <sheetFormatPr defaultRowHeight="15"/>
  <cols>
    <col min="2" max="8" width="9.140625" style="555"/>
    <col min="9" max="9" width="9.140625" style="88"/>
    <col min="10" max="10" width="9.140625" style="73"/>
    <col min="12" max="13" width="9.140625" style="88"/>
  </cols>
  <sheetData>
    <row r="1" spans="1:40">
      <c r="A1" s="505"/>
      <c r="B1" s="506" t="s">
        <v>462</v>
      </c>
      <c r="C1" s="506"/>
      <c r="D1" s="506" t="s">
        <v>463</v>
      </c>
      <c r="E1" s="506"/>
      <c r="F1" s="507"/>
      <c r="G1" s="507"/>
      <c r="H1" s="507"/>
      <c r="J1" s="508"/>
      <c r="K1" s="88"/>
    </row>
    <row r="2" spans="1:40">
      <c r="A2" s="509"/>
      <c r="B2" s="510" t="s">
        <v>464</v>
      </c>
      <c r="C2" s="511"/>
      <c r="D2" s="511"/>
      <c r="E2" s="511"/>
      <c r="F2" s="512"/>
      <c r="G2" s="512"/>
      <c r="H2" s="512"/>
      <c r="I2" s="513"/>
      <c r="J2" s="508"/>
      <c r="K2" s="514">
        <f>K34</f>
        <v>711261.17387543246</v>
      </c>
      <c r="L2" s="88">
        <f>+K2*20</f>
        <v>14225223.477508649</v>
      </c>
      <c r="M2" s="88">
        <v>17385455</v>
      </c>
      <c r="N2">
        <f>+M2-L2</f>
        <v>3160231.5224913508</v>
      </c>
      <c r="Q2" s="515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930" t="s">
        <v>135</v>
      </c>
    </row>
    <row r="3" spans="1:40" ht="38.25">
      <c r="A3" s="516" t="s">
        <v>304</v>
      </c>
      <c r="B3" s="517" t="s">
        <v>465</v>
      </c>
      <c r="C3" s="517" t="s">
        <v>466</v>
      </c>
      <c r="D3" s="517" t="s">
        <v>467</v>
      </c>
      <c r="E3" s="517" t="s">
        <v>468</v>
      </c>
      <c r="F3" s="518" t="s">
        <v>469</v>
      </c>
      <c r="G3" s="518" t="s">
        <v>470</v>
      </c>
      <c r="H3" s="518" t="s">
        <v>471</v>
      </c>
      <c r="I3" s="518" t="s">
        <v>472</v>
      </c>
      <c r="J3" s="518" t="s">
        <v>473</v>
      </c>
      <c r="K3" s="518" t="s">
        <v>474</v>
      </c>
      <c r="L3" s="518" t="s">
        <v>475</v>
      </c>
      <c r="M3" s="518" t="s">
        <v>476</v>
      </c>
      <c r="N3" s="518" t="s">
        <v>477</v>
      </c>
      <c r="O3" s="518" t="s">
        <v>478</v>
      </c>
      <c r="P3" s="518"/>
      <c r="Q3" s="515" t="s">
        <v>479</v>
      </c>
      <c r="R3" s="276" t="s">
        <v>350</v>
      </c>
      <c r="S3" s="276" t="s">
        <v>351</v>
      </c>
      <c r="T3" s="276" t="s">
        <v>352</v>
      </c>
      <c r="U3" s="276" t="s">
        <v>353</v>
      </c>
      <c r="V3" s="276" t="s">
        <v>354</v>
      </c>
      <c r="W3" s="276" t="s">
        <v>355</v>
      </c>
      <c r="X3" s="276" t="s">
        <v>356</v>
      </c>
      <c r="Y3" s="276" t="s">
        <v>357</v>
      </c>
      <c r="Z3" s="276" t="s">
        <v>358</v>
      </c>
      <c r="AA3" s="276" t="s">
        <v>359</v>
      </c>
      <c r="AB3" s="276" t="s">
        <v>360</v>
      </c>
      <c r="AC3" s="930"/>
    </row>
    <row r="4" spans="1:40" ht="15.75">
      <c r="A4" s="519">
        <v>1</v>
      </c>
      <c r="B4" s="520" t="s">
        <v>480</v>
      </c>
      <c r="C4" s="520" t="s">
        <v>339</v>
      </c>
      <c r="D4" s="520" t="s">
        <v>481</v>
      </c>
      <c r="E4" s="520" t="s">
        <v>482</v>
      </c>
      <c r="F4" s="521">
        <v>475</v>
      </c>
      <c r="G4" s="521">
        <v>4</v>
      </c>
      <c r="H4" s="521">
        <f>+F4*G4</f>
        <v>1900</v>
      </c>
      <c r="I4" s="522">
        <f>H6</f>
        <v>2200</v>
      </c>
      <c r="J4" s="523">
        <v>18.27</v>
      </c>
      <c r="K4" s="522">
        <f>+J4*I4</f>
        <v>40194</v>
      </c>
      <c r="L4" s="524">
        <v>5.8</v>
      </c>
      <c r="M4" s="525">
        <f>+J4-L4</f>
        <v>12.469999999999999</v>
      </c>
      <c r="N4" s="526">
        <f>M4*H4</f>
        <v>23692.999999999996</v>
      </c>
      <c r="O4" s="527">
        <f>N4*289/100000</f>
        <v>68.472769999999997</v>
      </c>
      <c r="P4" s="526"/>
      <c r="Q4" s="528"/>
      <c r="R4" s="528"/>
      <c r="S4" s="529"/>
      <c r="T4" s="529"/>
      <c r="U4" s="529"/>
      <c r="V4" s="529"/>
      <c r="W4" s="529"/>
      <c r="X4" s="529"/>
      <c r="Y4" s="529"/>
      <c r="Z4" s="529"/>
      <c r="AA4" s="529"/>
      <c r="AB4" s="529"/>
      <c r="AC4" s="530"/>
    </row>
    <row r="5" spans="1:40" ht="15.75">
      <c r="A5" s="519"/>
      <c r="B5" s="520"/>
      <c r="C5" s="520" t="s">
        <v>342</v>
      </c>
      <c r="D5" s="520"/>
      <c r="E5" s="520"/>
      <c r="F5" s="521">
        <v>75</v>
      </c>
      <c r="G5" s="521">
        <v>4</v>
      </c>
      <c r="H5" s="521">
        <f>+F5*G5</f>
        <v>300</v>
      </c>
      <c r="I5" s="522"/>
      <c r="J5" s="523"/>
      <c r="K5" s="522"/>
      <c r="L5" s="531"/>
      <c r="M5" s="525"/>
      <c r="N5" s="526"/>
      <c r="O5" s="526"/>
      <c r="P5" s="526"/>
      <c r="Q5" s="528"/>
      <c r="R5" s="528"/>
      <c r="S5" s="532"/>
      <c r="T5" s="532"/>
      <c r="U5" s="532"/>
      <c r="V5" s="532"/>
      <c r="W5" s="532"/>
      <c r="X5" s="532"/>
      <c r="Y5" s="532"/>
      <c r="Z5" s="532"/>
      <c r="AA5" s="532"/>
      <c r="AB5" s="532"/>
      <c r="AC5" s="530"/>
    </row>
    <row r="6" spans="1:40" ht="15.75">
      <c r="A6" s="519"/>
      <c r="B6" s="520"/>
      <c r="C6" s="520"/>
      <c r="D6" s="520"/>
      <c r="E6" s="520"/>
      <c r="F6" s="521"/>
      <c r="G6" s="521"/>
      <c r="H6" s="521">
        <f>SUM(H4:H5)</f>
        <v>2200</v>
      </c>
      <c r="I6" s="522"/>
      <c r="J6" s="523"/>
      <c r="K6" s="522"/>
      <c r="L6" s="531"/>
      <c r="M6" s="525"/>
      <c r="N6" s="526"/>
      <c r="O6" s="533"/>
      <c r="P6" s="533"/>
      <c r="Q6" s="534"/>
      <c r="R6" s="534"/>
      <c r="S6" s="534"/>
      <c r="T6" s="534"/>
      <c r="U6" s="534"/>
      <c r="V6" s="534"/>
      <c r="W6" s="534"/>
      <c r="X6" s="534"/>
      <c r="Y6" s="534"/>
      <c r="Z6" s="534"/>
      <c r="AA6" s="534"/>
      <c r="AB6" s="534"/>
      <c r="AC6" s="530"/>
    </row>
    <row r="7" spans="1:40" ht="15.75">
      <c r="A7" s="519">
        <v>2</v>
      </c>
      <c r="B7" s="520" t="s">
        <v>483</v>
      </c>
      <c r="C7" s="520" t="s">
        <v>339</v>
      </c>
      <c r="D7" s="520" t="s">
        <v>484</v>
      </c>
      <c r="E7" s="520" t="s">
        <v>485</v>
      </c>
      <c r="F7" s="521">
        <f>[23]Volume!C10/289</f>
        <v>553.6332179930796</v>
      </c>
      <c r="G7" s="521">
        <v>2</v>
      </c>
      <c r="H7" s="521">
        <f>+F7*G7</f>
        <v>1107.2664359861592</v>
      </c>
      <c r="I7" s="522">
        <f>H7</f>
        <v>1107.2664359861592</v>
      </c>
      <c r="J7" s="535">
        <v>135.01</v>
      </c>
      <c r="K7" s="522">
        <f>+J7*I7</f>
        <v>149492.04152249134</v>
      </c>
      <c r="L7" s="531">
        <v>42.77</v>
      </c>
      <c r="M7" s="525">
        <f>+J7-L7</f>
        <v>92.239999999999981</v>
      </c>
      <c r="N7" s="526">
        <f>M7*H7</f>
        <v>102134.25605536331</v>
      </c>
      <c r="O7" s="527">
        <f>N7*289/100000</f>
        <v>295.16799999999995</v>
      </c>
      <c r="P7" s="456" t="s">
        <v>361</v>
      </c>
      <c r="Q7" s="529">
        <f>N7*8/100000</f>
        <v>8.1707404844290643</v>
      </c>
      <c r="R7" s="529">
        <f>Q7</f>
        <v>8.1707404844290643</v>
      </c>
      <c r="S7" s="529">
        <f t="shared" ref="S7:AB7" si="0">R7</f>
        <v>8.1707404844290643</v>
      </c>
      <c r="T7" s="529">
        <f t="shared" si="0"/>
        <v>8.1707404844290643</v>
      </c>
      <c r="U7" s="529">
        <f t="shared" si="0"/>
        <v>8.1707404844290643</v>
      </c>
      <c r="V7" s="529">
        <f t="shared" si="0"/>
        <v>8.1707404844290643</v>
      </c>
      <c r="W7" s="529">
        <f t="shared" si="0"/>
        <v>8.1707404844290643</v>
      </c>
      <c r="X7" s="529">
        <f t="shared" si="0"/>
        <v>8.1707404844290643</v>
      </c>
      <c r="Y7" s="529">
        <f t="shared" si="0"/>
        <v>8.1707404844290643</v>
      </c>
      <c r="Z7" s="529">
        <f t="shared" si="0"/>
        <v>8.1707404844290643</v>
      </c>
      <c r="AA7" s="529">
        <f t="shared" si="0"/>
        <v>8.1707404844290643</v>
      </c>
      <c r="AB7" s="529">
        <f t="shared" si="0"/>
        <v>8.1707404844290643</v>
      </c>
      <c r="AC7" s="529">
        <f>SUM(Q7:AB7)</f>
        <v>98.048885813148743</v>
      </c>
      <c r="AD7" s="529"/>
      <c r="AE7" s="529"/>
      <c r="AF7" s="529"/>
      <c r="AG7" s="529"/>
      <c r="AH7" s="529"/>
      <c r="AI7" s="529"/>
      <c r="AJ7" s="529"/>
      <c r="AK7" s="529"/>
      <c r="AL7" s="529"/>
      <c r="AM7" s="529"/>
      <c r="AN7" s="529"/>
    </row>
    <row r="8" spans="1:40" ht="15.75">
      <c r="A8" s="519"/>
      <c r="B8" s="520"/>
      <c r="C8" s="520"/>
      <c r="D8" s="520"/>
      <c r="E8" s="520"/>
      <c r="F8" s="521"/>
      <c r="G8" s="521"/>
      <c r="H8" s="521"/>
      <c r="I8" s="522"/>
      <c r="J8" s="535"/>
      <c r="K8" s="522"/>
      <c r="L8" s="531"/>
      <c r="M8" s="525"/>
      <c r="N8" s="526"/>
      <c r="O8" s="526"/>
      <c r="P8" s="456" t="s">
        <v>362</v>
      </c>
      <c r="Q8" s="528">
        <v>9.4</v>
      </c>
      <c r="R8" s="528">
        <f>19.25-Q8</f>
        <v>9.85</v>
      </c>
      <c r="S8" s="532">
        <f>S7/2</f>
        <v>4.0853702422145322</v>
      </c>
      <c r="T8" s="532"/>
      <c r="U8" s="532"/>
      <c r="V8" s="532"/>
      <c r="W8" s="532"/>
      <c r="X8" s="532"/>
      <c r="Y8" s="532"/>
      <c r="Z8" s="532"/>
      <c r="AA8" s="532"/>
      <c r="AB8" s="532"/>
      <c r="AC8" s="530">
        <f>SUM(Q8:AB8)</f>
        <v>23.33537024221453</v>
      </c>
    </row>
    <row r="9" spans="1:40" s="73" customFormat="1" ht="15.75">
      <c r="A9" s="536">
        <v>3</v>
      </c>
      <c r="B9" s="537" t="s">
        <v>486</v>
      </c>
      <c r="C9" s="537" t="s">
        <v>361</v>
      </c>
      <c r="D9" s="537" t="s">
        <v>484</v>
      </c>
      <c r="E9" s="537" t="s">
        <v>482</v>
      </c>
      <c r="F9" s="538">
        <f>[23]Volume!C8/289</f>
        <v>311.41868512110727</v>
      </c>
      <c r="G9" s="538">
        <v>2</v>
      </c>
      <c r="H9" s="538">
        <f>+F9*G9</f>
        <v>622.83737024221455</v>
      </c>
      <c r="I9" s="522">
        <f>H9</f>
        <v>622.83737024221455</v>
      </c>
      <c r="J9" s="535">
        <v>133.27000000000001</v>
      </c>
      <c r="K9" s="522">
        <f>+J9*I9</f>
        <v>83005.536332179938</v>
      </c>
      <c r="L9" s="531">
        <v>42.77</v>
      </c>
      <c r="M9" s="525">
        <f>+J9-L9</f>
        <v>90.5</v>
      </c>
      <c r="N9" s="526">
        <f>M9*H9</f>
        <v>56366.782006920417</v>
      </c>
      <c r="O9" s="527">
        <f>N9*289/100000</f>
        <v>162.9</v>
      </c>
      <c r="P9" s="526"/>
      <c r="Q9" s="528"/>
      <c r="R9" s="528"/>
      <c r="S9" s="529"/>
      <c r="T9" s="529">
        <f>N9*8/100000</f>
        <v>4.509342560553633</v>
      </c>
      <c r="U9" s="529">
        <f>T9</f>
        <v>4.509342560553633</v>
      </c>
      <c r="V9" s="529">
        <f>N9*8/100000</f>
        <v>4.509342560553633</v>
      </c>
      <c r="W9" s="529">
        <f t="shared" ref="W9:AB9" si="1">V9</f>
        <v>4.509342560553633</v>
      </c>
      <c r="X9" s="529">
        <f t="shared" si="1"/>
        <v>4.509342560553633</v>
      </c>
      <c r="Y9" s="529">
        <f t="shared" si="1"/>
        <v>4.509342560553633</v>
      </c>
      <c r="Z9" s="529">
        <f t="shared" si="1"/>
        <v>4.509342560553633</v>
      </c>
      <c r="AA9" s="529">
        <f t="shared" si="1"/>
        <v>4.509342560553633</v>
      </c>
      <c r="AB9" s="529">
        <f t="shared" si="1"/>
        <v>4.509342560553633</v>
      </c>
      <c r="AC9" s="529">
        <f>SUM(Q9:AB9)</f>
        <v>40.584083044982698</v>
      </c>
    </row>
    <row r="10" spans="1:40" s="73" customFormat="1" ht="15.75">
      <c r="A10" s="536"/>
      <c r="B10" s="537"/>
      <c r="C10" s="537"/>
      <c r="D10" s="537"/>
      <c r="E10" s="537"/>
      <c r="F10" s="538"/>
      <c r="G10" s="538"/>
      <c r="H10" s="538"/>
      <c r="I10" s="522"/>
      <c r="J10" s="535"/>
      <c r="K10" s="522"/>
      <c r="L10" s="531"/>
      <c r="M10" s="525"/>
      <c r="N10" s="526"/>
      <c r="O10" s="526"/>
      <c r="P10" s="526"/>
      <c r="Q10" s="528"/>
      <c r="R10" s="528"/>
      <c r="S10" s="532"/>
      <c r="T10" s="532"/>
      <c r="U10" s="532"/>
      <c r="V10" s="532"/>
      <c r="W10" s="532"/>
      <c r="X10" s="532"/>
      <c r="Y10" s="532"/>
      <c r="Z10" s="532"/>
      <c r="AA10" s="532"/>
      <c r="AB10" s="532"/>
      <c r="AC10" s="530">
        <f>SUM(Q10:AB10)</f>
        <v>0</v>
      </c>
    </row>
    <row r="11" spans="1:40" ht="15.75">
      <c r="A11" s="536">
        <v>4</v>
      </c>
      <c r="B11" s="537" t="s">
        <v>487</v>
      </c>
      <c r="C11" s="537" t="s">
        <v>361</v>
      </c>
      <c r="D11" s="537" t="s">
        <v>481</v>
      </c>
      <c r="E11" s="537" t="s">
        <v>485</v>
      </c>
      <c r="F11" s="538">
        <v>300</v>
      </c>
      <c r="G11" s="538">
        <v>4</v>
      </c>
      <c r="H11" s="538">
        <f>+F11*G11</f>
        <v>1200</v>
      </c>
      <c r="I11" s="522">
        <f>H13</f>
        <v>3800</v>
      </c>
      <c r="J11" s="535">
        <v>13.21</v>
      </c>
      <c r="K11" s="522">
        <f>+J11*I11</f>
        <v>50198</v>
      </c>
      <c r="L11" s="524">
        <v>5.8</v>
      </c>
      <c r="M11" s="525">
        <f>+J11-L11</f>
        <v>7.410000000000001</v>
      </c>
      <c r="N11" s="526">
        <f>M11*H11</f>
        <v>8892.0000000000018</v>
      </c>
      <c r="O11" s="526">
        <f>N11*289/100000</f>
        <v>25.697880000000005</v>
      </c>
      <c r="P11" s="533"/>
      <c r="Q11" s="534"/>
      <c r="R11" s="534"/>
      <c r="S11" s="534"/>
      <c r="T11" s="534"/>
      <c r="U11" s="534"/>
      <c r="V11" s="534"/>
      <c r="W11" s="534"/>
      <c r="X11" s="534"/>
      <c r="Y11" s="534"/>
      <c r="Z11" s="534"/>
      <c r="AA11" s="534"/>
      <c r="AB11" s="534"/>
      <c r="AC11" s="530"/>
    </row>
    <row r="12" spans="1:40" ht="15.75">
      <c r="A12" s="539"/>
      <c r="B12" s="540"/>
      <c r="C12" s="540" t="s">
        <v>488</v>
      </c>
      <c r="D12" s="540"/>
      <c r="E12" s="540"/>
      <c r="F12" s="541">
        <v>650</v>
      </c>
      <c r="G12" s="541">
        <v>4</v>
      </c>
      <c r="H12" s="541">
        <f>+F12*G12</f>
        <v>2600</v>
      </c>
      <c r="I12" s="542"/>
      <c r="J12" s="523"/>
      <c r="K12" s="522">
        <f>+J12*I12</f>
        <v>0</v>
      </c>
      <c r="L12" s="531"/>
      <c r="M12" s="525"/>
      <c r="N12" s="526"/>
      <c r="O12" s="533"/>
      <c r="P12" s="533"/>
      <c r="Q12" s="534"/>
      <c r="R12" s="534"/>
      <c r="S12" s="534"/>
      <c r="T12" s="534"/>
      <c r="U12" s="534"/>
      <c r="V12" s="534"/>
      <c r="W12" s="534"/>
      <c r="X12" s="534"/>
      <c r="Y12" s="534"/>
      <c r="Z12" s="534"/>
      <c r="AA12" s="534"/>
      <c r="AB12" s="534"/>
      <c r="AC12" s="530"/>
    </row>
    <row r="13" spans="1:40" ht="15.75">
      <c r="A13" s="539"/>
      <c r="B13" s="540"/>
      <c r="C13" s="540"/>
      <c r="D13" s="540"/>
      <c r="E13" s="540"/>
      <c r="F13" s="541"/>
      <c r="G13" s="541"/>
      <c r="H13" s="541">
        <f>SUM(H11:H12)</f>
        <v>3800</v>
      </c>
      <c r="I13" s="542"/>
      <c r="J13" s="523"/>
      <c r="K13" s="522">
        <f>+J13*I13</f>
        <v>0</v>
      </c>
      <c r="L13" s="531"/>
      <c r="M13" s="525"/>
      <c r="N13" s="526"/>
      <c r="O13" s="533"/>
      <c r="P13" s="533"/>
      <c r="Q13" s="534"/>
      <c r="R13" s="534"/>
      <c r="S13" s="534"/>
      <c r="T13" s="534"/>
      <c r="U13" s="534"/>
      <c r="V13" s="534"/>
      <c r="W13" s="534"/>
      <c r="X13" s="534"/>
      <c r="Y13" s="534"/>
      <c r="Z13" s="534"/>
      <c r="AA13" s="534"/>
      <c r="AB13" s="534"/>
      <c r="AC13" s="530"/>
    </row>
    <row r="14" spans="1:40" ht="15.75">
      <c r="A14" s="536">
        <v>5</v>
      </c>
      <c r="B14" s="537" t="s">
        <v>489</v>
      </c>
      <c r="C14" s="537" t="s">
        <v>341</v>
      </c>
      <c r="D14" s="537" t="s">
        <v>484</v>
      </c>
      <c r="E14" s="537" t="s">
        <v>482</v>
      </c>
      <c r="F14" s="538">
        <f>[23]Volume!C11/289</f>
        <v>311.41868512110727</v>
      </c>
      <c r="G14" s="538">
        <v>1</v>
      </c>
      <c r="H14" s="538">
        <f>+F14*G14</f>
        <v>311.41868512110727</v>
      </c>
      <c r="I14" s="522">
        <f>H14</f>
        <v>311.41868512110727</v>
      </c>
      <c r="J14" s="535">
        <v>412.95</v>
      </c>
      <c r="K14" s="522">
        <f>+J14*I14</f>
        <v>128600.34602076125</v>
      </c>
      <c r="L14" s="531">
        <v>100</v>
      </c>
      <c r="M14" s="525">
        <f>+J14-L14</f>
        <v>312.95</v>
      </c>
      <c r="N14" s="527">
        <f>M14*H14</f>
        <v>97458.477508650511</v>
      </c>
      <c r="O14" s="527">
        <f>N14*289/100000</f>
        <v>281.65499999999997</v>
      </c>
      <c r="P14" s="456" t="s">
        <v>361</v>
      </c>
      <c r="Q14" s="528"/>
      <c r="R14" s="528"/>
      <c r="S14" s="529"/>
      <c r="T14" s="529"/>
      <c r="U14" s="529"/>
      <c r="V14" s="529"/>
      <c r="W14" s="529"/>
      <c r="X14" s="529">
        <f>N14*24/100000</f>
        <v>23.390034602076124</v>
      </c>
      <c r="Y14" s="529">
        <f>X14</f>
        <v>23.390034602076124</v>
      </c>
      <c r="Z14" s="529">
        <f>Y14</f>
        <v>23.390034602076124</v>
      </c>
      <c r="AA14" s="529">
        <f>Z14</f>
        <v>23.390034602076124</v>
      </c>
      <c r="AB14" s="529">
        <f>AA14</f>
        <v>23.390034602076124</v>
      </c>
      <c r="AC14" s="529">
        <f>SUM(Q14:AB14)</f>
        <v>116.95017301038062</v>
      </c>
    </row>
    <row r="15" spans="1:40" ht="15.75">
      <c r="A15" s="536"/>
      <c r="B15" s="537"/>
      <c r="C15" s="537"/>
      <c r="D15" s="537"/>
      <c r="E15" s="537"/>
      <c r="F15" s="538"/>
      <c r="G15" s="538"/>
      <c r="H15" s="538"/>
      <c r="I15" s="522"/>
      <c r="J15" s="535"/>
      <c r="K15" s="522"/>
      <c r="L15" s="531"/>
      <c r="M15" s="525"/>
      <c r="N15" s="526"/>
      <c r="O15" s="526"/>
      <c r="P15" s="456" t="s">
        <v>362</v>
      </c>
      <c r="Q15" s="528"/>
      <c r="R15" s="528"/>
      <c r="S15" s="532"/>
      <c r="T15" s="532"/>
      <c r="U15" s="532"/>
      <c r="V15" s="532"/>
      <c r="W15" s="532"/>
      <c r="X15" s="532"/>
      <c r="Y15" s="532"/>
      <c r="Z15" s="532"/>
      <c r="AA15" s="532"/>
      <c r="AB15" s="532"/>
      <c r="AC15" s="530">
        <f>SUM(Q15:AB15)</f>
        <v>0</v>
      </c>
    </row>
    <row r="16" spans="1:40" ht="15.75">
      <c r="A16" s="539">
        <v>6</v>
      </c>
      <c r="B16" s="540" t="s">
        <v>490</v>
      </c>
      <c r="C16" s="540" t="s">
        <v>342</v>
      </c>
      <c r="D16" s="540" t="s">
        <v>481</v>
      </c>
      <c r="E16" s="540" t="s">
        <v>482</v>
      </c>
      <c r="F16" s="541">
        <v>75</v>
      </c>
      <c r="G16" s="541">
        <v>2</v>
      </c>
      <c r="H16" s="541">
        <f>+F16*G16</f>
        <v>150</v>
      </c>
      <c r="I16" s="522">
        <f>H16</f>
        <v>150</v>
      </c>
      <c r="J16" s="523">
        <v>1.39</v>
      </c>
      <c r="K16" s="522">
        <f t="shared" ref="K16:K21" si="2">+J16*I16</f>
        <v>208.49999999999997</v>
      </c>
      <c r="L16" s="456"/>
      <c r="M16" s="525"/>
      <c r="N16" s="526"/>
      <c r="O16" s="533"/>
      <c r="P16" s="533"/>
      <c r="AC16" s="530"/>
    </row>
    <row r="17" spans="1:29" ht="15.75">
      <c r="A17" s="931">
        <v>7</v>
      </c>
      <c r="B17" s="933" t="s">
        <v>491</v>
      </c>
      <c r="C17" s="543" t="s">
        <v>342</v>
      </c>
      <c r="D17" s="935" t="s">
        <v>481</v>
      </c>
      <c r="E17" s="935" t="s">
        <v>482</v>
      </c>
      <c r="F17" s="544">
        <v>75</v>
      </c>
      <c r="G17" s="544">
        <v>3</v>
      </c>
      <c r="H17" s="544">
        <f>+F17*G17</f>
        <v>225</v>
      </c>
      <c r="I17" s="522">
        <f>H19</f>
        <v>1525</v>
      </c>
      <c r="J17" s="523">
        <v>10.71</v>
      </c>
      <c r="K17" s="522">
        <f t="shared" si="2"/>
        <v>16332.750000000002</v>
      </c>
      <c r="L17" s="524">
        <v>5.8</v>
      </c>
      <c r="M17" s="525">
        <f>+J17-L17</f>
        <v>4.910000000000001</v>
      </c>
      <c r="N17" s="526">
        <f>M17*H17</f>
        <v>1104.7500000000002</v>
      </c>
      <c r="O17" s="527">
        <f>N17*289/100000</f>
        <v>3.1927275000000006</v>
      </c>
      <c r="P17" s="533"/>
      <c r="AC17" s="530"/>
    </row>
    <row r="18" spans="1:29" ht="15.75">
      <c r="A18" s="932"/>
      <c r="B18" s="934"/>
      <c r="C18" s="543" t="s">
        <v>488</v>
      </c>
      <c r="D18" s="936"/>
      <c r="E18" s="936"/>
      <c r="F18" s="544">
        <v>650</v>
      </c>
      <c r="G18" s="544">
        <v>2</v>
      </c>
      <c r="H18" s="544">
        <f>+F18*G18</f>
        <v>1300</v>
      </c>
      <c r="I18" s="545"/>
      <c r="J18" s="523"/>
      <c r="K18" s="522">
        <f t="shared" si="2"/>
        <v>0</v>
      </c>
      <c r="L18" s="456"/>
      <c r="M18" s="525"/>
      <c r="N18" s="526"/>
      <c r="O18" s="533"/>
      <c r="P18" s="533"/>
      <c r="AC18" s="530"/>
    </row>
    <row r="19" spans="1:29" ht="15.75">
      <c r="A19" s="519"/>
      <c r="B19" s="520"/>
      <c r="C19" s="520"/>
      <c r="D19" s="520"/>
      <c r="E19" s="520"/>
      <c r="F19" s="521"/>
      <c r="G19" s="521"/>
      <c r="H19" s="521">
        <f>SUM(H17:H18)</f>
        <v>1525</v>
      </c>
      <c r="I19" s="522"/>
      <c r="J19" s="523"/>
      <c r="K19" s="522">
        <f t="shared" si="2"/>
        <v>0</v>
      </c>
      <c r="L19" s="456"/>
      <c r="M19" s="525"/>
      <c r="N19" s="526"/>
      <c r="O19" s="533"/>
      <c r="P19" s="533"/>
      <c r="AC19" s="530"/>
    </row>
    <row r="20" spans="1:29" ht="15.75">
      <c r="A20" s="519">
        <v>8</v>
      </c>
      <c r="B20" s="520" t="s">
        <v>492</v>
      </c>
      <c r="C20" s="520" t="s">
        <v>342</v>
      </c>
      <c r="D20" s="520" t="s">
        <v>481</v>
      </c>
      <c r="E20" s="520" t="s">
        <v>482</v>
      </c>
      <c r="F20" s="521">
        <v>75</v>
      </c>
      <c r="G20" s="521">
        <v>2</v>
      </c>
      <c r="H20" s="521">
        <f>+F20*G20</f>
        <v>150</v>
      </c>
      <c r="I20" s="522">
        <f>H20</f>
        <v>150</v>
      </c>
      <c r="J20" s="523">
        <v>2.6</v>
      </c>
      <c r="K20" s="522">
        <f t="shared" si="2"/>
        <v>390</v>
      </c>
      <c r="L20" s="456"/>
      <c r="M20" s="525"/>
      <c r="N20" s="526"/>
      <c r="O20" s="533"/>
      <c r="P20" s="533"/>
      <c r="AC20" s="530"/>
    </row>
    <row r="21" spans="1:29" s="73" customFormat="1" ht="15.75">
      <c r="A21" s="546">
        <v>9</v>
      </c>
      <c r="B21" s="547" t="s">
        <v>493</v>
      </c>
      <c r="C21" s="547" t="s">
        <v>330</v>
      </c>
      <c r="D21" s="548" t="s">
        <v>494</v>
      </c>
      <c r="E21" s="547" t="s">
        <v>482</v>
      </c>
      <c r="F21" s="549">
        <v>2000</v>
      </c>
      <c r="G21" s="549">
        <v>2</v>
      </c>
      <c r="H21" s="549">
        <f>+F21*G21</f>
        <v>4000</v>
      </c>
      <c r="I21" s="522">
        <f>H21</f>
        <v>4000</v>
      </c>
      <c r="J21" s="535">
        <v>46.38</v>
      </c>
      <c r="K21" s="522">
        <f t="shared" si="2"/>
        <v>185520</v>
      </c>
      <c r="L21" s="523">
        <v>32</v>
      </c>
      <c r="M21" s="525">
        <f>+J21-L21</f>
        <v>14.380000000000003</v>
      </c>
      <c r="N21" s="526">
        <f>M21*H21</f>
        <v>57520.000000000007</v>
      </c>
      <c r="O21" s="527">
        <f>N21*289/100000</f>
        <v>166.23280000000003</v>
      </c>
      <c r="P21" s="550"/>
      <c r="Q21" s="528"/>
      <c r="R21" s="528"/>
      <c r="S21" s="529"/>
      <c r="T21" s="529"/>
      <c r="U21" s="529"/>
      <c r="V21" s="529"/>
      <c r="W21" s="529"/>
      <c r="X21" s="529">
        <f>N21*24/100000</f>
        <v>13.804800000000002</v>
      </c>
      <c r="Y21" s="529">
        <f>X21</f>
        <v>13.804800000000002</v>
      </c>
      <c r="Z21" s="529">
        <f>Y21</f>
        <v>13.804800000000002</v>
      </c>
      <c r="AA21" s="529">
        <f>Z21</f>
        <v>13.804800000000002</v>
      </c>
      <c r="AB21" s="529">
        <f>AA21</f>
        <v>13.804800000000002</v>
      </c>
      <c r="AC21" s="529">
        <f>SUM(Q21:AB21)</f>
        <v>69.024000000000015</v>
      </c>
    </row>
    <row r="22" spans="1:29" s="73" customFormat="1" ht="15.75">
      <c r="A22" s="546"/>
      <c r="B22" s="547"/>
      <c r="C22" s="547"/>
      <c r="D22" s="548"/>
      <c r="E22" s="547"/>
      <c r="F22" s="549"/>
      <c r="G22" s="549"/>
      <c r="H22" s="549"/>
      <c r="I22" s="522"/>
      <c r="J22" s="535"/>
      <c r="K22" s="522"/>
      <c r="L22" s="523"/>
      <c r="M22" s="525"/>
      <c r="N22" s="550"/>
      <c r="O22" s="550"/>
      <c r="P22" s="550"/>
      <c r="Q22" s="528"/>
      <c r="R22" s="528"/>
      <c r="S22" s="532"/>
      <c r="T22" s="532"/>
      <c r="U22" s="532"/>
      <c r="V22" s="532"/>
      <c r="W22" s="532"/>
      <c r="X22" s="532"/>
      <c r="Y22" s="532"/>
      <c r="Z22" s="532"/>
      <c r="AA22" s="532"/>
      <c r="AB22" s="532"/>
      <c r="AC22" s="530">
        <f>SUM(Q22:AB22)</f>
        <v>0</v>
      </c>
    </row>
    <row r="23" spans="1:29" ht="15.75">
      <c r="A23" s="546">
        <v>11</v>
      </c>
      <c r="B23" s="547" t="s">
        <v>495</v>
      </c>
      <c r="C23" s="547" t="s">
        <v>330</v>
      </c>
      <c r="D23" s="547" t="s">
        <v>481</v>
      </c>
      <c r="E23" s="547" t="s">
        <v>482</v>
      </c>
      <c r="F23" s="549">
        <v>2000</v>
      </c>
      <c r="G23" s="549">
        <v>2</v>
      </c>
      <c r="H23" s="549">
        <f>+F23*G23</f>
        <v>4000</v>
      </c>
      <c r="I23" s="522">
        <f>H23</f>
        <v>4000</v>
      </c>
      <c r="J23" s="535">
        <v>8.06</v>
      </c>
      <c r="K23" s="522">
        <f>+J23*I23</f>
        <v>32240.000000000004</v>
      </c>
      <c r="L23" s="524">
        <v>5.8</v>
      </c>
      <c r="M23" s="525">
        <f>+J23-L23</f>
        <v>2.2600000000000007</v>
      </c>
      <c r="N23" s="526">
        <f>M23*H23</f>
        <v>9040.0000000000018</v>
      </c>
      <c r="O23" s="527">
        <f>N23*289/100000</f>
        <v>26.125600000000006</v>
      </c>
      <c r="P23" s="456" t="s">
        <v>361</v>
      </c>
      <c r="Q23" s="528"/>
      <c r="R23" s="528"/>
      <c r="S23" s="529"/>
      <c r="T23" s="529"/>
      <c r="U23" s="529"/>
      <c r="V23" s="529"/>
      <c r="W23" s="529"/>
      <c r="X23" s="529"/>
      <c r="Y23" s="529">
        <f>N23*24/100000</f>
        <v>2.1696000000000004</v>
      </c>
      <c r="Z23" s="529">
        <f>Y23</f>
        <v>2.1696000000000004</v>
      </c>
      <c r="AA23" s="529">
        <f>Z23</f>
        <v>2.1696000000000004</v>
      </c>
      <c r="AB23" s="529">
        <f>AA23</f>
        <v>2.1696000000000004</v>
      </c>
      <c r="AC23" s="529">
        <f>SUM(Q23:AB23)</f>
        <v>8.6784000000000017</v>
      </c>
    </row>
    <row r="24" spans="1:29" ht="15.75">
      <c r="A24" s="546"/>
      <c r="B24" s="547"/>
      <c r="C24" s="547"/>
      <c r="D24" s="547"/>
      <c r="E24" s="547"/>
      <c r="F24" s="549"/>
      <c r="G24" s="549"/>
      <c r="H24" s="549"/>
      <c r="I24" s="522"/>
      <c r="J24" s="535"/>
      <c r="K24" s="522"/>
      <c r="L24" s="524"/>
      <c r="M24" s="525"/>
      <c r="N24" s="526"/>
      <c r="O24" s="526"/>
      <c r="P24" s="456" t="s">
        <v>362</v>
      </c>
      <c r="Q24" s="528"/>
      <c r="R24" s="528"/>
      <c r="S24" s="532"/>
      <c r="T24" s="532"/>
      <c r="U24" s="532"/>
      <c r="V24" s="532"/>
      <c r="W24" s="532"/>
      <c r="X24" s="532"/>
      <c r="Y24" s="532"/>
      <c r="Z24" s="532"/>
      <c r="AA24" s="532"/>
      <c r="AB24" s="532"/>
      <c r="AC24" s="530">
        <f>SUM(Q24:AB24)</f>
        <v>0</v>
      </c>
    </row>
    <row r="25" spans="1:29" ht="15.75">
      <c r="A25" s="546">
        <v>12</v>
      </c>
      <c r="B25" s="547" t="s">
        <v>496</v>
      </c>
      <c r="C25" s="547" t="s">
        <v>330</v>
      </c>
      <c r="D25" s="547" t="s">
        <v>481</v>
      </c>
      <c r="E25" s="547" t="s">
        <v>482</v>
      </c>
      <c r="F25" s="547">
        <v>2000</v>
      </c>
      <c r="G25" s="547">
        <v>2</v>
      </c>
      <c r="H25" s="547">
        <f>+F25*G25</f>
        <v>4000</v>
      </c>
      <c r="I25" s="551">
        <f>H25</f>
        <v>4000</v>
      </c>
      <c r="J25" s="535">
        <v>6.27</v>
      </c>
      <c r="K25" s="522">
        <f>+J25*I25</f>
        <v>25080</v>
      </c>
      <c r="L25" s="552">
        <v>4.25</v>
      </c>
      <c r="M25" s="525">
        <f>+J25-L25</f>
        <v>2.0199999999999996</v>
      </c>
      <c r="N25" s="98">
        <f>M25*H25</f>
        <v>8079.9999999999982</v>
      </c>
      <c r="O25" s="527">
        <f>N25*289/100000</f>
        <v>23.351199999999995</v>
      </c>
      <c r="P25" s="456" t="s">
        <v>361</v>
      </c>
      <c r="Q25" s="528"/>
      <c r="R25" s="528"/>
      <c r="S25" s="529"/>
      <c r="T25" s="529"/>
      <c r="U25" s="529"/>
      <c r="V25" s="529"/>
      <c r="W25" s="529"/>
      <c r="X25" s="529"/>
      <c r="Y25" s="529">
        <f>N25*24/100000</f>
        <v>1.9391999999999994</v>
      </c>
      <c r="Z25" s="529">
        <f>Y25</f>
        <v>1.9391999999999994</v>
      </c>
      <c r="AA25" s="529">
        <f>Z25</f>
        <v>1.9391999999999994</v>
      </c>
      <c r="AB25" s="529">
        <f>AA25</f>
        <v>1.9391999999999994</v>
      </c>
      <c r="AC25" s="529">
        <f>SUM(Q25:AB25)</f>
        <v>7.7567999999999975</v>
      </c>
    </row>
    <row r="26" spans="1:29" ht="15.75">
      <c r="A26" s="546"/>
      <c r="B26" s="547"/>
      <c r="C26" s="547"/>
      <c r="D26" s="547"/>
      <c r="E26" s="547"/>
      <c r="F26" s="547"/>
      <c r="G26" s="547"/>
      <c r="H26" s="547"/>
      <c r="I26" s="551"/>
      <c r="J26" s="535"/>
      <c r="K26" s="522"/>
      <c r="L26" s="552"/>
      <c r="M26" s="525"/>
      <c r="N26" s="98"/>
      <c r="O26" s="98"/>
      <c r="P26" s="456" t="s">
        <v>362</v>
      </c>
      <c r="Q26" s="528"/>
      <c r="R26" s="528"/>
      <c r="S26" s="529"/>
      <c r="T26" s="529"/>
      <c r="U26" s="529"/>
      <c r="V26" s="529"/>
      <c r="W26" s="529"/>
      <c r="X26" s="529"/>
      <c r="Y26" s="529"/>
      <c r="Z26" s="529"/>
      <c r="AA26" s="529"/>
      <c r="AB26" s="529"/>
      <c r="AC26" s="530"/>
    </row>
    <row r="27" spans="1:29" ht="15.75">
      <c r="A27" s="546">
        <v>13</v>
      </c>
      <c r="B27" s="547">
        <v>45821</v>
      </c>
      <c r="C27" s="547" t="s">
        <v>334</v>
      </c>
      <c r="D27" s="547" t="s">
        <v>497</v>
      </c>
      <c r="E27" s="547"/>
      <c r="F27" s="549">
        <f>[23]Volume!C8/289</f>
        <v>311.41868512110727</v>
      </c>
      <c r="G27" s="547">
        <v>2</v>
      </c>
      <c r="H27" s="549">
        <f>+F27*G27</f>
        <v>622.83737024221455</v>
      </c>
      <c r="I27" s="522">
        <f>H27</f>
        <v>622.83737024221455</v>
      </c>
      <c r="J27" s="535">
        <f>3.2*60</f>
        <v>192</v>
      </c>
      <c r="K27" s="522"/>
      <c r="L27" s="552">
        <f>3.2*45</f>
        <v>144</v>
      </c>
      <c r="M27" s="525">
        <f>+J27-L27</f>
        <v>48</v>
      </c>
      <c r="N27" s="526">
        <f>M27*H27</f>
        <v>29896.193771626298</v>
      </c>
      <c r="O27" s="527">
        <f>N27*289/100000</f>
        <v>86.4</v>
      </c>
      <c r="P27" s="456" t="s">
        <v>361</v>
      </c>
      <c r="Q27" s="528"/>
      <c r="R27" s="528"/>
      <c r="S27" s="529"/>
      <c r="T27" s="529"/>
      <c r="U27" s="529"/>
      <c r="V27" s="529"/>
      <c r="W27" s="529"/>
      <c r="X27" s="529"/>
      <c r="Y27" s="529"/>
      <c r="Z27" s="529"/>
      <c r="AA27" s="529"/>
      <c r="AB27" s="529"/>
      <c r="AC27" s="530"/>
    </row>
    <row r="28" spans="1:29" ht="15.75">
      <c r="A28" s="546"/>
      <c r="B28" s="547"/>
      <c r="C28" s="547"/>
      <c r="D28" s="547"/>
      <c r="E28" s="547"/>
      <c r="F28" s="547"/>
      <c r="G28" s="547"/>
      <c r="H28" s="547"/>
      <c r="I28" s="551"/>
      <c r="J28" s="535"/>
      <c r="K28" s="522"/>
      <c r="L28" s="552"/>
      <c r="M28" s="525"/>
      <c r="N28" s="98"/>
      <c r="O28" s="98"/>
      <c r="P28" s="456" t="s">
        <v>362</v>
      </c>
      <c r="Q28" s="528"/>
      <c r="R28" s="528"/>
      <c r="S28" s="529"/>
      <c r="T28" s="529"/>
      <c r="U28" s="529"/>
      <c r="V28" s="529"/>
      <c r="W28" s="529"/>
      <c r="X28" s="529"/>
      <c r="Y28" s="529"/>
      <c r="Z28" s="529"/>
      <c r="AA28" s="529"/>
      <c r="AB28" s="529"/>
      <c r="AC28" s="530"/>
    </row>
    <row r="29" spans="1:29" ht="15.75">
      <c r="A29" s="546"/>
      <c r="B29" s="547"/>
      <c r="C29" s="547"/>
      <c r="D29" s="547"/>
      <c r="E29" s="547"/>
      <c r="F29" s="547"/>
      <c r="G29" s="547"/>
      <c r="H29" s="547"/>
      <c r="I29" s="551"/>
      <c r="J29" s="535"/>
      <c r="K29" s="522"/>
      <c r="L29" s="552"/>
      <c r="M29" s="525"/>
      <c r="N29" s="98"/>
      <c r="O29" s="98"/>
      <c r="P29" s="98"/>
      <c r="Q29" s="528"/>
      <c r="R29" s="528"/>
      <c r="S29" s="529"/>
      <c r="T29" s="529"/>
      <c r="U29" s="529"/>
      <c r="V29" s="529"/>
      <c r="W29" s="529"/>
      <c r="X29" s="529"/>
      <c r="Y29" s="529"/>
      <c r="Z29" s="529"/>
      <c r="AA29" s="529"/>
      <c r="AB29" s="529"/>
      <c r="AC29" s="530"/>
    </row>
    <row r="30" spans="1:29" ht="15.75">
      <c r="A30" s="546">
        <v>14</v>
      </c>
      <c r="B30" s="547">
        <v>45821</v>
      </c>
      <c r="C30" s="547" t="s">
        <v>338</v>
      </c>
      <c r="D30" s="547" t="s">
        <v>497</v>
      </c>
      <c r="E30" s="547"/>
      <c r="F30" s="549">
        <f>[23]Volume!C10/289</f>
        <v>553.6332179930796</v>
      </c>
      <c r="G30" s="547">
        <v>2</v>
      </c>
      <c r="H30" s="549">
        <f>+F30*G30</f>
        <v>1107.2664359861592</v>
      </c>
      <c r="I30" s="522">
        <f>H30</f>
        <v>1107.2664359861592</v>
      </c>
      <c r="J30" s="535">
        <f>3.2*60</f>
        <v>192</v>
      </c>
      <c r="K30" s="522"/>
      <c r="L30" s="552">
        <f>3.2*45</f>
        <v>144</v>
      </c>
      <c r="M30" s="525">
        <f>+J30-L30</f>
        <v>48</v>
      </c>
      <c r="N30" s="526">
        <f>M30*H30</f>
        <v>53148.788927335641</v>
      </c>
      <c r="O30" s="527">
        <f>N30*289/100000</f>
        <v>153.6</v>
      </c>
      <c r="P30" s="456" t="s">
        <v>361</v>
      </c>
      <c r="Q30" s="528"/>
      <c r="R30" s="528"/>
      <c r="S30" s="529"/>
      <c r="T30" s="529"/>
      <c r="U30" s="529"/>
      <c r="V30" s="529"/>
      <c r="W30" s="529"/>
      <c r="X30" s="529"/>
      <c r="Y30" s="529"/>
      <c r="Z30" s="529"/>
      <c r="AA30" s="529"/>
      <c r="AB30" s="529"/>
      <c r="AC30" s="530"/>
    </row>
    <row r="31" spans="1:29" ht="15.75">
      <c r="A31" s="546"/>
      <c r="B31" s="547"/>
      <c r="C31" s="547"/>
      <c r="D31" s="547"/>
      <c r="E31" s="547"/>
      <c r="F31" s="547"/>
      <c r="G31" s="547"/>
      <c r="H31" s="547"/>
      <c r="I31" s="551"/>
      <c r="J31" s="535"/>
      <c r="K31" s="522"/>
      <c r="L31" s="552"/>
      <c r="M31" s="525"/>
      <c r="N31" s="98"/>
      <c r="O31" s="98"/>
      <c r="P31" s="456" t="s">
        <v>362</v>
      </c>
      <c r="Q31" s="528"/>
      <c r="R31" s="528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30"/>
    </row>
    <row r="32" spans="1:29" ht="15.75">
      <c r="A32" s="546"/>
      <c r="B32" s="547"/>
      <c r="C32" s="547"/>
      <c r="D32" s="547"/>
      <c r="E32" s="547"/>
      <c r="F32" s="547"/>
      <c r="G32" s="547"/>
      <c r="H32" s="547"/>
      <c r="I32" s="551"/>
      <c r="J32" s="535"/>
      <c r="K32" s="522"/>
      <c r="L32" s="552"/>
      <c r="M32" s="525"/>
      <c r="N32" s="98"/>
      <c r="O32" s="98"/>
      <c r="P32" s="98"/>
      <c r="Q32" s="528"/>
      <c r="R32" s="528"/>
      <c r="S32" s="529"/>
      <c r="T32" s="529"/>
      <c r="U32" s="529"/>
      <c r="V32" s="529"/>
      <c r="W32" s="529"/>
      <c r="X32" s="529"/>
      <c r="Y32" s="529"/>
      <c r="Z32" s="529"/>
      <c r="AA32" s="529"/>
      <c r="AB32" s="529"/>
      <c r="AC32" s="530"/>
    </row>
    <row r="33" spans="1:29" ht="15.75">
      <c r="A33" s="546"/>
      <c r="B33" s="547"/>
      <c r="C33" s="547"/>
      <c r="D33" s="547"/>
      <c r="E33" s="547"/>
      <c r="F33" s="547"/>
      <c r="G33" s="547"/>
      <c r="H33" s="547"/>
      <c r="I33" s="551"/>
      <c r="J33" s="535"/>
      <c r="K33" s="522"/>
      <c r="L33" s="552"/>
      <c r="M33" s="525"/>
      <c r="N33" s="98"/>
      <c r="O33" s="98"/>
      <c r="P33" s="98"/>
      <c r="Q33" s="528"/>
      <c r="R33" s="528"/>
      <c r="S33" s="532"/>
      <c r="T33" s="532"/>
      <c r="U33" s="532"/>
      <c r="V33" s="532"/>
      <c r="W33" s="532"/>
      <c r="X33" s="532"/>
      <c r="Y33" s="532"/>
      <c r="Z33" s="532"/>
      <c r="AA33" s="532"/>
      <c r="AB33" s="532"/>
      <c r="AC33" s="530">
        <f>SUM(Q33:AB33)</f>
        <v>0</v>
      </c>
    </row>
    <row r="34" spans="1:29" ht="15.75" thickBot="1">
      <c r="A34" s="104"/>
      <c r="B34" s="506"/>
      <c r="C34" s="506"/>
      <c r="D34" s="506"/>
      <c r="E34" s="506"/>
      <c r="F34" s="506"/>
      <c r="G34" s="506"/>
      <c r="H34" s="506"/>
      <c r="I34" s="104"/>
      <c r="J34" s="553"/>
      <c r="K34" s="456">
        <f>SUM(K4:K25)</f>
        <v>711261.17387543246</v>
      </c>
      <c r="L34" s="104"/>
      <c r="M34" s="104"/>
      <c r="N34" s="98"/>
      <c r="O34" s="533">
        <f>SUM(O4:O33)</f>
        <v>1292.7959775000002</v>
      </c>
      <c r="P34" s="117"/>
      <c r="AC34" s="554">
        <f>AC7+AC9+AC14+AC23+AC25</f>
        <v>272.0183418685121</v>
      </c>
    </row>
    <row r="35" spans="1:29" ht="15.75" thickTop="1"/>
    <row r="36" spans="1:29" ht="15.75" thickBot="1">
      <c r="AA36" t="s">
        <v>53</v>
      </c>
      <c r="AC36" s="556">
        <f>AC8+AC10+AC15+AC22+AC24+AC26</f>
        <v>23.33537024221453</v>
      </c>
    </row>
    <row r="37" spans="1:29" ht="15.75" thickTop="1"/>
  </sheetData>
  <mergeCells count="5">
    <mergeCell ref="AC2:AC3"/>
    <mergeCell ref="A17:A18"/>
    <mergeCell ref="B17:B18"/>
    <mergeCell ref="D17:D18"/>
    <mergeCell ref="E17:E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5"/>
  <sheetViews>
    <sheetView showWhiteSpace="0" zoomScale="55" zoomScaleNormal="55" zoomScaleSheetLayoutView="32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G17" sqref="G17"/>
    </sheetView>
  </sheetViews>
  <sheetFormatPr defaultRowHeight="15"/>
  <cols>
    <col min="1" max="1" width="22.7109375" customWidth="1"/>
    <col min="2" max="2" width="10.85546875" bestFit="1" customWidth="1"/>
    <col min="3" max="3" width="16.140625" customWidth="1"/>
    <col min="4" max="4" width="38.5703125" style="274" customWidth="1"/>
    <col min="5" max="5" width="18.28515625" style="274" customWidth="1"/>
    <col min="6" max="6" width="13.42578125" bestFit="1" customWidth="1"/>
    <col min="7" max="7" width="12.85546875" bestFit="1" customWidth="1"/>
    <col min="8" max="8" width="12.85546875" customWidth="1"/>
    <col min="9" max="9" width="10" customWidth="1"/>
    <col min="10" max="10" width="10.28515625" customWidth="1"/>
    <col min="11" max="11" width="16.5703125" customWidth="1"/>
    <col min="12" max="12" width="19.140625" customWidth="1"/>
    <col min="13" max="13" width="10" customWidth="1"/>
    <col min="14" max="14" width="10.28515625" customWidth="1"/>
    <col min="15" max="15" width="16.5703125" customWidth="1"/>
    <col min="16" max="16" width="21.42578125" customWidth="1"/>
    <col min="17" max="18" width="21.140625" customWidth="1"/>
    <col min="19" max="19" width="25.42578125" customWidth="1"/>
    <col min="20" max="20" width="28.140625" customWidth="1"/>
    <col min="21" max="21" width="32" customWidth="1"/>
    <col min="23" max="23" width="12.5703125" bestFit="1" customWidth="1"/>
    <col min="24" max="24" width="14.140625" bestFit="1" customWidth="1"/>
    <col min="26" max="26" width="11.85546875" bestFit="1" customWidth="1"/>
  </cols>
  <sheetData>
    <row r="1" spans="1:26" ht="40.5" customHeight="1">
      <c r="A1" s="940" t="s">
        <v>301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</row>
    <row r="2" spans="1:26" ht="28.5" customHeight="1">
      <c r="A2" s="942" t="s">
        <v>302</v>
      </c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943"/>
      <c r="N2" s="943"/>
      <c r="O2" s="943"/>
      <c r="P2" s="943"/>
      <c r="Q2" s="943"/>
      <c r="R2" s="943"/>
      <c r="S2" s="943"/>
      <c r="T2" s="943"/>
      <c r="U2" s="943"/>
    </row>
    <row r="3" spans="1:26" ht="27.75" customHeight="1">
      <c r="A3" s="944" t="s">
        <v>303</v>
      </c>
      <c r="B3" s="945" t="s">
        <v>304</v>
      </c>
      <c r="C3" s="945" t="s">
        <v>305</v>
      </c>
      <c r="D3" s="945" t="s">
        <v>306</v>
      </c>
      <c r="E3" s="945" t="s">
        <v>307</v>
      </c>
      <c r="F3" s="945" t="s">
        <v>308</v>
      </c>
      <c r="G3" s="945" t="s">
        <v>309</v>
      </c>
      <c r="H3" s="945" t="s">
        <v>310</v>
      </c>
      <c r="I3" s="945" t="s">
        <v>311</v>
      </c>
      <c r="J3" s="945"/>
      <c r="K3" s="945"/>
      <c r="L3" s="945"/>
      <c r="M3" s="945" t="s">
        <v>312</v>
      </c>
      <c r="N3" s="945"/>
      <c r="O3" s="945"/>
      <c r="P3" s="945"/>
      <c r="Q3" s="249"/>
      <c r="R3" s="249"/>
      <c r="S3" s="249"/>
      <c r="T3" s="250"/>
      <c r="U3" s="99"/>
    </row>
    <row r="4" spans="1:26" ht="54" customHeight="1">
      <c r="A4" s="944"/>
      <c r="B4" s="945"/>
      <c r="C4" s="945"/>
      <c r="D4" s="945"/>
      <c r="E4" s="945"/>
      <c r="F4" s="945"/>
      <c r="G4" s="945"/>
      <c r="H4" s="945"/>
      <c r="I4" s="251" t="s">
        <v>313</v>
      </c>
      <c r="J4" s="251" t="s">
        <v>314</v>
      </c>
      <c r="K4" s="251" t="s">
        <v>315</v>
      </c>
      <c r="L4" s="252" t="s">
        <v>316</v>
      </c>
      <c r="M4" s="251" t="s">
        <v>313</v>
      </c>
      <c r="N4" s="251" t="s">
        <v>314</v>
      </c>
      <c r="O4" s="251" t="s">
        <v>315</v>
      </c>
      <c r="P4" s="252" t="s">
        <v>316</v>
      </c>
      <c r="Q4" s="252" t="s">
        <v>317</v>
      </c>
      <c r="R4" s="253" t="s">
        <v>318</v>
      </c>
      <c r="S4" s="252" t="s">
        <v>319</v>
      </c>
      <c r="T4" s="254" t="s">
        <v>320</v>
      </c>
      <c r="U4" s="255" t="s">
        <v>576</v>
      </c>
    </row>
    <row r="5" spans="1:26" ht="69.95" customHeight="1">
      <c r="A5" s="937" t="s">
        <v>322</v>
      </c>
      <c r="B5" s="256">
        <v>1</v>
      </c>
      <c r="C5" s="683" t="s">
        <v>323</v>
      </c>
      <c r="D5" s="256"/>
      <c r="E5" s="257" t="s">
        <v>327</v>
      </c>
      <c r="F5" s="257" t="s">
        <v>325</v>
      </c>
      <c r="G5" s="257">
        <f>Volume!C6</f>
        <v>66000</v>
      </c>
      <c r="H5" s="256">
        <v>1</v>
      </c>
      <c r="I5" s="258">
        <v>1</v>
      </c>
      <c r="J5" s="120">
        <v>1190</v>
      </c>
      <c r="K5" s="120">
        <v>280</v>
      </c>
      <c r="L5" s="259">
        <f>I5*J5*K5*7.854/1000000</f>
        <v>2.6169528</v>
      </c>
      <c r="M5" s="258">
        <v>1</v>
      </c>
      <c r="N5" s="120">
        <v>1190</v>
      </c>
      <c r="O5" s="120">
        <v>270</v>
      </c>
      <c r="P5" s="259">
        <f>M5*N5*O5*7.854/1000000</f>
        <v>2.5234902000000003</v>
      </c>
      <c r="Q5" s="259">
        <f t="shared" ref="Q5:Q14" si="0">(L5-P5)/H5</f>
        <v>9.3462599999999618E-2</v>
      </c>
      <c r="R5" s="611">
        <v>45</v>
      </c>
      <c r="S5" s="260">
        <f>Q5*R5</f>
        <v>4.2058169999999828</v>
      </c>
      <c r="T5" s="261">
        <f t="shared" ref="T5:T14" si="1">S5*G5/100000</f>
        <v>2.7758392199999884</v>
      </c>
      <c r="U5" s="262">
        <f>'[24]Master Plan'!W5</f>
        <v>1.8063365512500029</v>
      </c>
    </row>
    <row r="6" spans="1:26" ht="69.95" customHeight="1" thickBot="1">
      <c r="A6" s="937"/>
      <c r="B6" s="256">
        <v>2</v>
      </c>
      <c r="C6" s="387" t="s">
        <v>570</v>
      </c>
      <c r="D6" s="256"/>
      <c r="E6" s="257" t="s">
        <v>327</v>
      </c>
      <c r="F6" s="257" t="s">
        <v>338</v>
      </c>
      <c r="G6" s="268">
        <f>Volume!C10</f>
        <v>150000</v>
      </c>
      <c r="H6" s="256">
        <v>1</v>
      </c>
      <c r="I6" s="258">
        <v>2</v>
      </c>
      <c r="J6" s="258">
        <v>450</v>
      </c>
      <c r="K6" s="258">
        <v>915</v>
      </c>
      <c r="L6" s="259">
        <f t="shared" ref="L6:L14" si="2">I6*J6*K6*7.854/1000000</f>
        <v>6.4677689999999997</v>
      </c>
      <c r="M6" s="258">
        <v>2</v>
      </c>
      <c r="N6" s="258">
        <v>915</v>
      </c>
      <c r="O6" s="258">
        <v>441</v>
      </c>
      <c r="P6" s="259">
        <f t="shared" ref="P6:P14" si="3">M6*N6*O6*7.854/1000000</f>
        <v>6.3384136199999999</v>
      </c>
      <c r="Q6" s="259">
        <f t="shared" si="0"/>
        <v>0.1293553799999998</v>
      </c>
      <c r="R6" s="611">
        <v>45</v>
      </c>
      <c r="S6" s="260">
        <f t="shared" ref="S6:S14" si="4">Q6*R6</f>
        <v>5.8209920999999909</v>
      </c>
      <c r="T6" s="261">
        <f t="shared" si="1"/>
        <v>8.7314881499999863</v>
      </c>
      <c r="U6" s="262">
        <f>'[24]Master Plan'!W7</f>
        <v>4.2376256999999908</v>
      </c>
      <c r="Z6" s="263"/>
    </row>
    <row r="7" spans="1:26" ht="69.95" customHeight="1">
      <c r="A7" s="937"/>
      <c r="B7" s="256">
        <v>3</v>
      </c>
      <c r="C7" s="683" t="s">
        <v>326</v>
      </c>
      <c r="D7" s="256"/>
      <c r="E7" s="257" t="s">
        <v>327</v>
      </c>
      <c r="F7" s="257" t="s">
        <v>325</v>
      </c>
      <c r="G7" s="257">
        <f>Volume!C6</f>
        <v>66000</v>
      </c>
      <c r="H7" s="256">
        <v>1</v>
      </c>
      <c r="I7" s="258">
        <v>0.75</v>
      </c>
      <c r="J7" s="258">
        <v>1100</v>
      </c>
      <c r="K7" s="258">
        <v>740</v>
      </c>
      <c r="L7" s="259">
        <f t="shared" si="2"/>
        <v>4.794867</v>
      </c>
      <c r="M7" s="258">
        <v>0.75</v>
      </c>
      <c r="N7" s="258">
        <v>1100</v>
      </c>
      <c r="O7" s="258">
        <v>730</v>
      </c>
      <c r="P7" s="259">
        <f t="shared" si="3"/>
        <v>4.7300715000000002</v>
      </c>
      <c r="Q7" s="259">
        <f t="shared" si="0"/>
        <v>6.4795499999999784E-2</v>
      </c>
      <c r="R7" s="611">
        <v>89</v>
      </c>
      <c r="S7" s="260">
        <f t="shared" si="4"/>
        <v>5.7667994999999808</v>
      </c>
      <c r="T7" s="261">
        <f t="shared" si="1"/>
        <v>3.8060876699999873</v>
      </c>
      <c r="U7" s="262">
        <f>'[24]Master Plan'!W9</f>
        <v>1.7444568487499943</v>
      </c>
    </row>
    <row r="8" spans="1:26" ht="69.95" customHeight="1">
      <c r="A8" s="937"/>
      <c r="B8" s="256">
        <v>4</v>
      </c>
      <c r="C8" s="273" t="s">
        <v>328</v>
      </c>
      <c r="D8" s="256"/>
      <c r="E8" s="257" t="s">
        <v>327</v>
      </c>
      <c r="F8" s="257" t="s">
        <v>325</v>
      </c>
      <c r="G8" s="257">
        <f>G7</f>
        <v>66000</v>
      </c>
      <c r="H8" s="256">
        <v>1</v>
      </c>
      <c r="I8" s="264">
        <v>0.8</v>
      </c>
      <c r="J8" s="264">
        <v>1040</v>
      </c>
      <c r="K8" s="264">
        <v>730</v>
      </c>
      <c r="L8" s="259">
        <f t="shared" si="2"/>
        <v>4.7702054400000007</v>
      </c>
      <c r="M8" s="264">
        <v>0.8</v>
      </c>
      <c r="N8" s="264">
        <v>1040</v>
      </c>
      <c r="O8" s="264">
        <v>720</v>
      </c>
      <c r="P8" s="259">
        <f t="shared" si="3"/>
        <v>4.70486016</v>
      </c>
      <c r="Q8" s="259">
        <f t="shared" si="0"/>
        <v>6.5345280000000727E-2</v>
      </c>
      <c r="R8" s="611">
        <f>R7</f>
        <v>89</v>
      </c>
      <c r="S8" s="260">
        <f t="shared" si="4"/>
        <v>5.8157299200000647</v>
      </c>
      <c r="T8" s="261">
        <f t="shared" si="1"/>
        <v>3.8383817472000428</v>
      </c>
      <c r="U8" s="262">
        <f>'[24]Master Plan'!W11</f>
        <v>1.7592583008000195</v>
      </c>
    </row>
    <row r="9" spans="1:26" ht="69.95" customHeight="1">
      <c r="A9" s="937"/>
      <c r="B9" s="256">
        <v>5</v>
      </c>
      <c r="C9" s="683" t="s">
        <v>329</v>
      </c>
      <c r="D9" s="256"/>
      <c r="E9" s="257" t="s">
        <v>324</v>
      </c>
      <c r="F9" s="257" t="s">
        <v>325</v>
      </c>
      <c r="G9" s="257">
        <f>G8</f>
        <v>66000</v>
      </c>
      <c r="H9" s="256">
        <v>1</v>
      </c>
      <c r="I9" s="258">
        <v>1</v>
      </c>
      <c r="J9" s="258">
        <v>245</v>
      </c>
      <c r="K9" s="258">
        <v>1090</v>
      </c>
      <c r="L9" s="259">
        <f t="shared" si="2"/>
        <v>2.0974107000000002</v>
      </c>
      <c r="M9" s="258">
        <v>1</v>
      </c>
      <c r="N9" s="264">
        <v>245</v>
      </c>
      <c r="O9" s="258">
        <v>1080</v>
      </c>
      <c r="P9" s="259">
        <f t="shared" si="3"/>
        <v>2.0781684</v>
      </c>
      <c r="Q9" s="259">
        <f t="shared" si="0"/>
        <v>1.9242300000000157E-2</v>
      </c>
      <c r="R9" s="611">
        <v>45</v>
      </c>
      <c r="S9" s="260">
        <f t="shared" si="4"/>
        <v>0.86590350000000704</v>
      </c>
      <c r="T9" s="261">
        <f t="shared" si="1"/>
        <v>0.57149631000000467</v>
      </c>
      <c r="U9" s="262">
        <f>'[24]Master Plan'!W13</f>
        <v>8.58834900000004</v>
      </c>
    </row>
    <row r="10" spans="1:26" ht="69.95" customHeight="1">
      <c r="A10" s="937"/>
      <c r="B10" s="256">
        <v>6</v>
      </c>
      <c r="C10" s="273" t="s">
        <v>333</v>
      </c>
      <c r="D10" s="256"/>
      <c r="E10" s="257" t="s">
        <v>327</v>
      </c>
      <c r="F10" s="257" t="s">
        <v>334</v>
      </c>
      <c r="G10" s="257">
        <f>Volume!C8</f>
        <v>90000</v>
      </c>
      <c r="H10" s="256">
        <v>1</v>
      </c>
      <c r="I10" s="258">
        <v>3.2</v>
      </c>
      <c r="J10" s="258">
        <v>555</v>
      </c>
      <c r="K10" s="258">
        <v>1027</v>
      </c>
      <c r="L10" s="259">
        <f t="shared" si="2"/>
        <v>14.325319007999999</v>
      </c>
      <c r="M10" s="258">
        <v>3.2</v>
      </c>
      <c r="N10" s="264">
        <v>555</v>
      </c>
      <c r="O10" s="258">
        <v>1000</v>
      </c>
      <c r="P10" s="259">
        <f t="shared" si="3"/>
        <v>13.948703999999999</v>
      </c>
      <c r="Q10" s="259">
        <f t="shared" si="0"/>
        <v>0.37661500799999992</v>
      </c>
      <c r="R10" s="611">
        <v>45</v>
      </c>
      <c r="S10" s="260">
        <f t="shared" si="4"/>
        <v>16.947675359999998</v>
      </c>
      <c r="T10" s="261">
        <f t="shared" si="1"/>
        <v>15.252907823999999</v>
      </c>
      <c r="U10" s="262">
        <f>'[24]Master Plan'!W15</f>
        <v>14.019389999999945</v>
      </c>
    </row>
    <row r="11" spans="1:26" ht="91.5" customHeight="1">
      <c r="A11" s="937"/>
      <c r="B11" s="256">
        <v>7</v>
      </c>
      <c r="C11" s="256" t="s">
        <v>331</v>
      </c>
      <c r="D11" s="256"/>
      <c r="E11" s="257" t="s">
        <v>332</v>
      </c>
      <c r="F11" s="257" t="s">
        <v>330</v>
      </c>
      <c r="G11" s="257">
        <f>Volume!C5</f>
        <v>400000</v>
      </c>
      <c r="H11" s="256">
        <v>3</v>
      </c>
      <c r="I11" s="258">
        <v>2</v>
      </c>
      <c r="J11" s="258">
        <v>618</v>
      </c>
      <c r="K11" s="258">
        <v>975</v>
      </c>
      <c r="L11" s="259">
        <f t="shared" si="2"/>
        <v>9.4648554000000011</v>
      </c>
      <c r="M11" s="258">
        <v>2</v>
      </c>
      <c r="N11" s="258">
        <v>608</v>
      </c>
      <c r="O11" s="258">
        <v>975</v>
      </c>
      <c r="P11" s="259">
        <f t="shared" si="3"/>
        <v>9.3117023999999997</v>
      </c>
      <c r="Q11" s="259">
        <f t="shared" si="0"/>
        <v>5.1051000000000478E-2</v>
      </c>
      <c r="R11" s="611">
        <v>49</v>
      </c>
      <c r="S11" s="260">
        <f t="shared" si="4"/>
        <v>2.5014990000000235</v>
      </c>
      <c r="T11" s="261">
        <f t="shared" si="1"/>
        <v>10.005996000000094</v>
      </c>
      <c r="U11" s="262">
        <f>'[24]Master Plan'!W23</f>
        <v>9.7746073424999782</v>
      </c>
    </row>
    <row r="12" spans="1:26" ht="93" customHeight="1">
      <c r="A12" s="938" t="s">
        <v>335</v>
      </c>
      <c r="B12" s="256">
        <v>8</v>
      </c>
      <c r="C12" s="256" t="s">
        <v>336</v>
      </c>
      <c r="D12" s="256"/>
      <c r="E12" s="257" t="s">
        <v>18</v>
      </c>
      <c r="F12" s="257" t="s">
        <v>330</v>
      </c>
      <c r="G12" s="257">
        <f>G11</f>
        <v>400000</v>
      </c>
      <c r="H12" s="256">
        <v>1</v>
      </c>
      <c r="I12" s="258">
        <v>2</v>
      </c>
      <c r="J12" s="258">
        <v>635</v>
      </c>
      <c r="K12" s="258">
        <v>364</v>
      </c>
      <c r="L12" s="259">
        <f>I12*J12*K12*7.854/1000000</f>
        <v>3.6307471200000001</v>
      </c>
      <c r="M12" s="258">
        <v>2</v>
      </c>
      <c r="N12" s="258">
        <v>625</v>
      </c>
      <c r="O12" s="258">
        <v>364</v>
      </c>
      <c r="P12" s="259">
        <f>M12*N12*O12*7.854/1000000</f>
        <v>3.5735700000000001</v>
      </c>
      <c r="Q12" s="259">
        <f t="shared" si="0"/>
        <v>5.717711999999997E-2</v>
      </c>
      <c r="R12" s="611">
        <v>65</v>
      </c>
      <c r="S12" s="260">
        <f>Q12*R12</f>
        <v>3.7165127999999981</v>
      </c>
      <c r="T12" s="261">
        <f t="shared" si="1"/>
        <v>14.866051199999992</v>
      </c>
      <c r="U12" s="266">
        <f>'[24]Master Plan'!W31</f>
        <v>25.817375583999986</v>
      </c>
    </row>
    <row r="13" spans="1:26" ht="93" customHeight="1">
      <c r="A13" s="939"/>
      <c r="B13" s="256">
        <v>9</v>
      </c>
      <c r="C13" s="610" t="s">
        <v>336</v>
      </c>
      <c r="D13" s="610"/>
      <c r="E13" s="610" t="s">
        <v>18</v>
      </c>
      <c r="F13" s="610" t="s">
        <v>330</v>
      </c>
      <c r="G13" s="610">
        <f>G11</f>
        <v>400000</v>
      </c>
      <c r="H13" s="610">
        <v>1</v>
      </c>
      <c r="I13" s="633">
        <v>2</v>
      </c>
      <c r="J13" s="633">
        <v>635</v>
      </c>
      <c r="K13" s="633">
        <v>364</v>
      </c>
      <c r="L13" s="634">
        <f t="shared" si="2"/>
        <v>3.6307471200000001</v>
      </c>
      <c r="M13" s="633">
        <v>2</v>
      </c>
      <c r="N13" s="633">
        <v>635</v>
      </c>
      <c r="O13" s="633">
        <v>346</v>
      </c>
      <c r="P13" s="634">
        <f t="shared" si="3"/>
        <v>3.45120468</v>
      </c>
      <c r="Q13" s="634">
        <f t="shared" si="0"/>
        <v>0.17954244000000008</v>
      </c>
      <c r="R13" s="635">
        <v>65</v>
      </c>
      <c r="S13" s="636">
        <f t="shared" si="4"/>
        <v>11.670258600000006</v>
      </c>
      <c r="T13" s="637">
        <f t="shared" si="1"/>
        <v>46.681034400000023</v>
      </c>
      <c r="U13" s="638">
        <f>'[24]Master Plan'!W33</f>
        <v>39.408734365000001</v>
      </c>
    </row>
    <row r="14" spans="1:26" ht="69.95" customHeight="1" thickBot="1">
      <c r="A14" s="939"/>
      <c r="B14" s="256">
        <v>10</v>
      </c>
      <c r="C14" s="256" t="s">
        <v>573</v>
      </c>
      <c r="D14" s="267"/>
      <c r="E14" s="268" t="s">
        <v>18</v>
      </c>
      <c r="F14" s="268" t="s">
        <v>338</v>
      </c>
      <c r="G14" s="268">
        <f>Volume!C10</f>
        <v>150000</v>
      </c>
      <c r="H14" s="268">
        <v>1</v>
      </c>
      <c r="I14" s="269">
        <v>1.2</v>
      </c>
      <c r="J14" s="269">
        <v>500</v>
      </c>
      <c r="K14" s="269">
        <v>365</v>
      </c>
      <c r="L14" s="270">
        <f t="shared" si="2"/>
        <v>1.7200260000000001</v>
      </c>
      <c r="M14" s="269">
        <v>1.2</v>
      </c>
      <c r="N14" s="269">
        <v>480</v>
      </c>
      <c r="O14" s="269">
        <v>365</v>
      </c>
      <c r="P14" s="270">
        <f t="shared" si="3"/>
        <v>1.65122496</v>
      </c>
      <c r="Q14" s="270">
        <f t="shared" si="0"/>
        <v>6.8801040000000091E-2</v>
      </c>
      <c r="R14" s="612">
        <v>45</v>
      </c>
      <c r="S14" s="271">
        <f t="shared" si="4"/>
        <v>3.0960468000000043</v>
      </c>
      <c r="T14" s="261">
        <f t="shared" si="1"/>
        <v>4.6440702000000069</v>
      </c>
      <c r="U14" s="272">
        <f>'[24]Master Plan'!W35</f>
        <v>5.8209920999999909</v>
      </c>
    </row>
    <row r="15" spans="1:26" ht="76.5" customHeight="1">
      <c r="I15" s="275"/>
      <c r="J15" s="275"/>
      <c r="K15" s="275"/>
      <c r="M15" s="275"/>
      <c r="N15" s="275"/>
      <c r="O15" s="275"/>
    </row>
    <row r="16" spans="1:26" ht="93" customHeight="1">
      <c r="B16" s="256" t="s">
        <v>337</v>
      </c>
      <c r="C16" s="610" t="s">
        <v>336</v>
      </c>
      <c r="D16" s="610"/>
      <c r="E16" s="610" t="s">
        <v>18</v>
      </c>
      <c r="F16" s="610" t="s">
        <v>330</v>
      </c>
      <c r="G16" s="610">
        <f>G13</f>
        <v>400000</v>
      </c>
      <c r="H16" s="610">
        <v>1</v>
      </c>
      <c r="I16" s="633">
        <v>2</v>
      </c>
      <c r="J16" s="633">
        <v>635</v>
      </c>
      <c r="K16" s="633">
        <v>364</v>
      </c>
      <c r="L16" s="634">
        <f t="shared" ref="L16" si="5">I16*J16*K16*7.854/1000000</f>
        <v>3.6307471200000001</v>
      </c>
      <c r="M16" s="633">
        <v>2</v>
      </c>
      <c r="N16" s="633">
        <v>635</v>
      </c>
      <c r="O16" s="633">
        <v>344</v>
      </c>
      <c r="P16" s="634">
        <f t="shared" ref="P16" si="6">M16*N16*O16*7.854/1000000</f>
        <v>3.4312555200000001</v>
      </c>
      <c r="Q16" s="634">
        <f t="shared" ref="Q16" si="7">(L16-P16)/H16</f>
        <v>0.19949159999999999</v>
      </c>
      <c r="R16" s="635">
        <v>65</v>
      </c>
      <c r="S16" s="636">
        <f t="shared" ref="S16" si="8">Q16*R16</f>
        <v>12.966953999999999</v>
      </c>
      <c r="T16" s="637">
        <f t="shared" ref="T16" si="9">S16*G16/100000</f>
        <v>51.867815999999998</v>
      </c>
      <c r="U16" s="638" t="e">
        <f>'[24]Master Plan'!W60</f>
        <v>#REF!</v>
      </c>
    </row>
    <row r="25" spans="17:17">
      <c r="Q25">
        <f>0.15*49</f>
        <v>7.35</v>
      </c>
    </row>
  </sheetData>
  <mergeCells count="14">
    <mergeCell ref="A5:A11"/>
    <mergeCell ref="A12:A14"/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I3:L3"/>
    <mergeCell ref="M3:P3"/>
  </mergeCells>
  <printOptions horizontalCentered="1" verticalCentered="1"/>
  <pageMargins left="0.43" right="0.42" top="0.75" bottom="0.75" header="0.3" footer="0.3"/>
  <pageSetup paperSize="109" scale="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78"/>
  <sheetViews>
    <sheetView topLeftCell="A49" workbookViewId="0">
      <selection activeCell="G83" sqref="G83"/>
    </sheetView>
  </sheetViews>
  <sheetFormatPr defaultRowHeight="15"/>
  <cols>
    <col min="2" max="2" width="21.140625" customWidth="1"/>
    <col min="3" max="3" width="13" customWidth="1"/>
    <col min="10" max="10" width="15.5703125" customWidth="1"/>
    <col min="12" max="12" width="15.140625" bestFit="1" customWidth="1"/>
    <col min="13" max="13" width="23" customWidth="1"/>
  </cols>
  <sheetData>
    <row r="1" spans="1:13" ht="24" customHeight="1">
      <c r="A1" s="788" t="s">
        <v>173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</row>
    <row r="2" spans="1:13" ht="26.25" customHeight="1">
      <c r="A2" s="789" t="s">
        <v>174</v>
      </c>
      <c r="B2" s="988"/>
      <c r="C2" s="988"/>
      <c r="D2" s="988"/>
      <c r="E2" s="988"/>
      <c r="F2" s="988"/>
      <c r="G2" s="988"/>
      <c r="H2" s="988"/>
      <c r="I2" s="988"/>
      <c r="J2" s="988"/>
      <c r="K2" s="988"/>
      <c r="L2" s="988"/>
      <c r="M2" s="989"/>
    </row>
    <row r="3" spans="1:13" ht="15" customHeight="1">
      <c r="A3" s="990" t="s">
        <v>175</v>
      </c>
      <c r="B3" s="1008" t="s">
        <v>214</v>
      </c>
      <c r="C3" s="993"/>
      <c r="D3" s="994" t="s">
        <v>176</v>
      </c>
      <c r="E3" s="995"/>
      <c r="F3" s="995"/>
      <c r="G3" s="996"/>
      <c r="H3" s="1000" t="s">
        <v>177</v>
      </c>
      <c r="I3" s="1001"/>
      <c r="J3" s="1001"/>
      <c r="K3" s="1002"/>
      <c r="L3" s="577"/>
      <c r="M3" s="1006" t="s">
        <v>178</v>
      </c>
    </row>
    <row r="4" spans="1:13" ht="15" customHeight="1">
      <c r="A4" s="991"/>
      <c r="B4" s="993"/>
      <c r="C4" s="993"/>
      <c r="D4" s="997"/>
      <c r="E4" s="998"/>
      <c r="F4" s="998"/>
      <c r="G4" s="999"/>
      <c r="H4" s="1003"/>
      <c r="I4" s="1004"/>
      <c r="J4" s="1004"/>
      <c r="K4" s="1005"/>
      <c r="L4" s="578"/>
      <c r="M4" s="1006"/>
    </row>
    <row r="5" spans="1:13" ht="15" customHeight="1">
      <c r="A5" s="991"/>
      <c r="B5" s="144" t="s">
        <v>179</v>
      </c>
      <c r="C5" s="145" t="s">
        <v>180</v>
      </c>
      <c r="D5" s="949" t="s">
        <v>181</v>
      </c>
      <c r="E5" s="983"/>
      <c r="F5" s="146" t="s">
        <v>182</v>
      </c>
      <c r="G5" s="147" t="s">
        <v>183</v>
      </c>
      <c r="H5" s="949" t="s">
        <v>181</v>
      </c>
      <c r="I5" s="983"/>
      <c r="J5" s="146" t="s">
        <v>182</v>
      </c>
      <c r="K5" s="147" t="s">
        <v>183</v>
      </c>
      <c r="L5" s="147"/>
      <c r="M5" s="148"/>
    </row>
    <row r="6" spans="1:13" ht="15" customHeight="1">
      <c r="A6" s="992"/>
      <c r="B6" s="144" t="s">
        <v>184</v>
      </c>
      <c r="C6" s="149" t="s">
        <v>185</v>
      </c>
      <c r="D6" s="949">
        <v>2</v>
      </c>
      <c r="E6" s="983"/>
      <c r="F6" s="150">
        <v>955</v>
      </c>
      <c r="G6" s="150">
        <v>376</v>
      </c>
      <c r="H6" s="1009">
        <v>2</v>
      </c>
      <c r="I6" s="1010"/>
      <c r="J6" s="151">
        <v>880</v>
      </c>
      <c r="K6" s="151">
        <v>330</v>
      </c>
      <c r="L6" s="580"/>
      <c r="M6" s="152">
        <f>1120/3</f>
        <v>373.33333333333331</v>
      </c>
    </row>
    <row r="7" spans="1:13" ht="15" customHeight="1">
      <c r="A7" s="152">
        <v>1</v>
      </c>
      <c r="B7" s="153" t="s">
        <v>186</v>
      </c>
      <c r="C7" s="104"/>
      <c r="D7" s="947">
        <f>D6*F6*G6*7.854/1000000</f>
        <v>5.6404286399999997</v>
      </c>
      <c r="E7" s="984"/>
      <c r="F7" s="984"/>
      <c r="G7" s="948"/>
      <c r="H7" s="947">
        <f>H6*J6*K6*7.854/1000000</f>
        <v>4.5616032000000004</v>
      </c>
      <c r="I7" s="984"/>
      <c r="J7" s="984"/>
      <c r="K7" s="948"/>
      <c r="L7" s="573"/>
      <c r="M7" s="98"/>
    </row>
    <row r="8" spans="1:13" ht="15" customHeight="1">
      <c r="A8" s="152">
        <v>2</v>
      </c>
      <c r="B8" s="153" t="s">
        <v>187</v>
      </c>
      <c r="C8" s="152"/>
      <c r="D8" s="949">
        <v>0</v>
      </c>
      <c r="E8" s="962"/>
      <c r="F8" s="962"/>
      <c r="G8" s="950"/>
      <c r="H8" s="978">
        <f>D7-H7</f>
        <v>1.0788254399999992</v>
      </c>
      <c r="I8" s="979"/>
      <c r="J8" s="979"/>
      <c r="K8" s="980"/>
      <c r="L8" s="581"/>
      <c r="M8" s="98"/>
    </row>
    <row r="9" spans="1:13" ht="15" customHeight="1">
      <c r="A9" s="152">
        <v>3</v>
      </c>
      <c r="B9" s="153" t="s">
        <v>188</v>
      </c>
      <c r="C9" s="152"/>
      <c r="D9" s="949"/>
      <c r="E9" s="962"/>
      <c r="F9" s="962"/>
      <c r="G9" s="950"/>
      <c r="H9" s="978">
        <f>H8*45</f>
        <v>48.54714479999997</v>
      </c>
      <c r="I9" s="981"/>
      <c r="J9" s="981"/>
      <c r="K9" s="982"/>
      <c r="L9" s="582"/>
      <c r="M9" s="98"/>
    </row>
    <row r="10" spans="1:13" ht="15" customHeight="1">
      <c r="A10" s="152">
        <v>4</v>
      </c>
      <c r="B10" s="154" t="s">
        <v>189</v>
      </c>
      <c r="C10" s="104"/>
      <c r="D10" s="955">
        <f>D7*3*2.7</f>
        <v>45.687471983999998</v>
      </c>
      <c r="E10" s="970"/>
      <c r="F10" s="970"/>
      <c r="G10" s="956"/>
      <c r="H10" s="949">
        <v>0</v>
      </c>
      <c r="I10" s="962"/>
      <c r="J10" s="962"/>
      <c r="K10" s="950"/>
      <c r="L10" s="574"/>
      <c r="M10" s="98"/>
    </row>
    <row r="11" spans="1:13" ht="15" customHeight="1">
      <c r="A11" s="152">
        <v>5</v>
      </c>
      <c r="B11" s="153" t="s">
        <v>190</v>
      </c>
      <c r="C11" s="149" t="s">
        <v>191</v>
      </c>
      <c r="D11" s="947">
        <v>1.25</v>
      </c>
      <c r="E11" s="984"/>
      <c r="F11" s="984"/>
      <c r="G11" s="948"/>
      <c r="H11" s="949">
        <v>0</v>
      </c>
      <c r="I11" s="962"/>
      <c r="J11" s="962"/>
      <c r="K11" s="950"/>
      <c r="L11" s="574"/>
      <c r="M11" s="98"/>
    </row>
    <row r="12" spans="1:13" ht="15" customHeight="1">
      <c r="A12" s="152">
        <v>6</v>
      </c>
      <c r="B12" s="153" t="s">
        <v>192</v>
      </c>
      <c r="C12" s="149" t="s">
        <v>193</v>
      </c>
      <c r="D12" s="949">
        <f>D11*3</f>
        <v>3.75</v>
      </c>
      <c r="E12" s="962"/>
      <c r="F12" s="962"/>
      <c r="G12" s="950"/>
      <c r="H12" s="947">
        <f>H7*3.4</f>
        <v>15.509450880000001</v>
      </c>
      <c r="I12" s="984"/>
      <c r="J12" s="984"/>
      <c r="K12" s="948"/>
      <c r="L12" s="573"/>
      <c r="M12" s="98"/>
    </row>
    <row r="13" spans="1:13" ht="15" customHeight="1">
      <c r="A13" s="152">
        <v>7</v>
      </c>
      <c r="B13" s="155" t="s">
        <v>194</v>
      </c>
      <c r="C13" s="152"/>
      <c r="D13" s="971">
        <f>(D10+D11+D12)/3</f>
        <v>16.895823994666667</v>
      </c>
      <c r="E13" s="972"/>
      <c r="F13" s="972"/>
      <c r="G13" s="973"/>
      <c r="H13" s="971">
        <f>H12+H11+H10</f>
        <v>15.509450880000001</v>
      </c>
      <c r="I13" s="972"/>
      <c r="J13" s="972"/>
      <c r="K13" s="973"/>
      <c r="L13" s="583"/>
      <c r="M13" s="98"/>
    </row>
    <row r="14" spans="1:13" ht="15" customHeight="1">
      <c r="A14" s="152"/>
      <c r="B14" s="153"/>
      <c r="C14" s="152"/>
      <c r="D14" s="953"/>
      <c r="E14" s="969"/>
      <c r="F14" s="969"/>
      <c r="G14" s="954"/>
      <c r="H14" s="949"/>
      <c r="I14" s="962"/>
      <c r="J14" s="962"/>
      <c r="K14" s="950"/>
      <c r="L14" s="574"/>
      <c r="M14" s="98"/>
    </row>
    <row r="15" spans="1:13" ht="15" customHeight="1">
      <c r="A15" s="152">
        <v>8</v>
      </c>
      <c r="B15" s="153" t="s">
        <v>378</v>
      </c>
      <c r="C15" s="156" t="s">
        <v>195</v>
      </c>
      <c r="D15" s="963">
        <f>D13*2000/100000</f>
        <v>0.3379164798933334</v>
      </c>
      <c r="E15" s="964"/>
      <c r="F15" s="964"/>
      <c r="G15" s="965"/>
      <c r="H15" s="963">
        <f>H13*2000/100000</f>
        <v>0.31018901760000001</v>
      </c>
      <c r="I15" s="964"/>
      <c r="J15" s="964"/>
      <c r="K15" s="965"/>
      <c r="L15" s="584"/>
      <c r="M15" s="98"/>
    </row>
    <row r="16" spans="1:13" ht="15" customHeight="1">
      <c r="A16" s="152">
        <v>9</v>
      </c>
      <c r="B16" s="153" t="s">
        <v>379</v>
      </c>
      <c r="C16" s="152"/>
      <c r="D16" s="963">
        <v>0</v>
      </c>
      <c r="E16" s="964"/>
      <c r="F16" s="964"/>
      <c r="G16" s="965"/>
      <c r="H16" s="963">
        <f>H9*2000/100000</f>
        <v>0.9709428959999995</v>
      </c>
      <c r="I16" s="964"/>
      <c r="J16" s="964"/>
      <c r="K16" s="965"/>
      <c r="L16" s="584"/>
      <c r="M16" s="98"/>
    </row>
    <row r="17" spans="1:13" ht="15" customHeight="1">
      <c r="A17" s="152">
        <v>10</v>
      </c>
      <c r="B17" s="153" t="s">
        <v>196</v>
      </c>
      <c r="C17" s="152"/>
      <c r="D17" s="963">
        <f>D15*289</f>
        <v>97.657862689173356</v>
      </c>
      <c r="E17" s="964"/>
      <c r="F17" s="964"/>
      <c r="G17" s="965"/>
      <c r="H17" s="963">
        <f>H15*289</f>
        <v>89.644626086399995</v>
      </c>
      <c r="I17" s="964"/>
      <c r="J17" s="964"/>
      <c r="K17" s="965"/>
      <c r="L17" s="584"/>
      <c r="M17" s="98" t="s">
        <v>197</v>
      </c>
    </row>
    <row r="18" spans="1:13" ht="22.5" customHeight="1">
      <c r="A18" s="152">
        <v>11</v>
      </c>
      <c r="B18" s="153" t="s">
        <v>380</v>
      </c>
      <c r="C18" s="152"/>
      <c r="D18" s="963">
        <v>0</v>
      </c>
      <c r="E18" s="964"/>
      <c r="F18" s="964"/>
      <c r="G18" s="965"/>
      <c r="H18" s="963">
        <f>H16*289</f>
        <v>280.60249694399988</v>
      </c>
      <c r="I18" s="964"/>
      <c r="J18" s="964"/>
      <c r="K18" s="965"/>
      <c r="L18" s="584"/>
      <c r="M18" s="98" t="s">
        <v>197</v>
      </c>
    </row>
    <row r="19" spans="1:13" ht="33.75" customHeight="1">
      <c r="A19" s="152">
        <v>12</v>
      </c>
      <c r="B19" s="153" t="s">
        <v>381</v>
      </c>
      <c r="C19" s="152"/>
      <c r="D19" s="966"/>
      <c r="E19" s="967"/>
      <c r="F19" s="967"/>
      <c r="G19" s="968"/>
      <c r="H19" s="974">
        <f>D17-H17+H18</f>
        <v>288.61573354677324</v>
      </c>
      <c r="I19" s="975"/>
      <c r="J19" s="975"/>
      <c r="K19" s="976"/>
      <c r="L19" s="586"/>
      <c r="M19" s="349">
        <f>H19</f>
        <v>288.61573354677324</v>
      </c>
    </row>
    <row r="20" spans="1:13" ht="30.75" customHeight="1">
      <c r="A20" s="789" t="s">
        <v>198</v>
      </c>
      <c r="B20" s="988"/>
      <c r="C20" s="988"/>
      <c r="D20" s="988"/>
      <c r="E20" s="988"/>
      <c r="F20" s="988"/>
      <c r="G20" s="988"/>
      <c r="H20" s="988"/>
      <c r="I20" s="988"/>
      <c r="J20" s="988"/>
      <c r="K20" s="988"/>
      <c r="L20" s="988"/>
      <c r="M20" s="989"/>
    </row>
    <row r="21" spans="1:13" ht="15" customHeight="1">
      <c r="A21" s="990" t="s">
        <v>175</v>
      </c>
      <c r="B21" s="1008" t="s">
        <v>215</v>
      </c>
      <c r="C21" s="993"/>
      <c r="D21" s="994" t="s">
        <v>176</v>
      </c>
      <c r="E21" s="995"/>
      <c r="F21" s="995"/>
      <c r="G21" s="996"/>
      <c r="H21" s="1000" t="s">
        <v>177</v>
      </c>
      <c r="I21" s="1001"/>
      <c r="J21" s="1001"/>
      <c r="K21" s="1002"/>
      <c r="L21" s="577"/>
      <c r="M21" s="1006" t="s">
        <v>178</v>
      </c>
    </row>
    <row r="22" spans="1:13" ht="15" customHeight="1">
      <c r="A22" s="991"/>
      <c r="B22" s="993"/>
      <c r="C22" s="993"/>
      <c r="D22" s="997"/>
      <c r="E22" s="998"/>
      <c r="F22" s="998"/>
      <c r="G22" s="999"/>
      <c r="H22" s="1003"/>
      <c r="I22" s="1004"/>
      <c r="J22" s="1004"/>
      <c r="K22" s="1005"/>
      <c r="L22" s="578"/>
      <c r="M22" s="1006"/>
    </row>
    <row r="23" spans="1:13" ht="15" customHeight="1">
      <c r="A23" s="991"/>
      <c r="B23" s="144" t="s">
        <v>179</v>
      </c>
      <c r="C23" s="145" t="s">
        <v>180</v>
      </c>
      <c r="D23" s="949" t="s">
        <v>181</v>
      </c>
      <c r="E23" s="983"/>
      <c r="F23" s="146" t="s">
        <v>182</v>
      </c>
      <c r="G23" s="147" t="s">
        <v>183</v>
      </c>
      <c r="H23" s="949" t="s">
        <v>181</v>
      </c>
      <c r="I23" s="983"/>
      <c r="J23" s="146" t="s">
        <v>182</v>
      </c>
      <c r="K23" s="147" t="s">
        <v>183</v>
      </c>
      <c r="L23" s="147"/>
      <c r="M23" s="148"/>
    </row>
    <row r="24" spans="1:13" ht="15" customHeight="1">
      <c r="A24" s="992"/>
      <c r="B24" s="144" t="s">
        <v>184</v>
      </c>
      <c r="C24" s="145" t="s">
        <v>199</v>
      </c>
      <c r="D24" s="1007">
        <v>2</v>
      </c>
      <c r="E24" s="983"/>
      <c r="F24" s="150">
        <v>825</v>
      </c>
      <c r="G24" s="150">
        <v>281.2</v>
      </c>
      <c r="H24" s="949">
        <v>2</v>
      </c>
      <c r="I24" s="983"/>
      <c r="J24" s="157">
        <v>820</v>
      </c>
      <c r="K24" s="157">
        <v>250</v>
      </c>
      <c r="L24" s="579"/>
      <c r="M24" s="148"/>
    </row>
    <row r="25" spans="1:13" ht="15" customHeight="1">
      <c r="A25" s="152">
        <v>1</v>
      </c>
      <c r="B25" s="153" t="s">
        <v>186</v>
      </c>
      <c r="C25" s="104"/>
      <c r="D25" s="947">
        <f>D24*F24*G24*7.854/1000000</f>
        <v>3.6440989199999998</v>
      </c>
      <c r="E25" s="984"/>
      <c r="F25" s="984"/>
      <c r="G25" s="948"/>
      <c r="H25" s="947">
        <f>H24*J24*K24*7.854/1000000</f>
        <v>3.2201399999999998</v>
      </c>
      <c r="I25" s="984"/>
      <c r="J25" s="984"/>
      <c r="K25" s="948"/>
      <c r="L25" s="573"/>
      <c r="M25" s="98"/>
    </row>
    <row r="26" spans="1:13" ht="15" customHeight="1">
      <c r="A26" s="152">
        <v>2</v>
      </c>
      <c r="B26" s="153" t="s">
        <v>187</v>
      </c>
      <c r="C26" s="152"/>
      <c r="D26" s="949">
        <v>0</v>
      </c>
      <c r="E26" s="962"/>
      <c r="F26" s="962"/>
      <c r="G26" s="950"/>
      <c r="H26" s="978">
        <f>D25-H25</f>
        <v>0.42395892000000002</v>
      </c>
      <c r="I26" s="979"/>
      <c r="J26" s="979"/>
      <c r="K26" s="980"/>
      <c r="L26" s="581"/>
      <c r="M26" s="98"/>
    </row>
    <row r="27" spans="1:13" ht="15" customHeight="1">
      <c r="A27" s="152">
        <v>3</v>
      </c>
      <c r="B27" s="153" t="s">
        <v>188</v>
      </c>
      <c r="C27" s="152"/>
      <c r="D27" s="949"/>
      <c r="E27" s="962"/>
      <c r="F27" s="962"/>
      <c r="G27" s="950"/>
      <c r="H27" s="978">
        <f>H26*45</f>
        <v>19.078151399999999</v>
      </c>
      <c r="I27" s="981"/>
      <c r="J27" s="981"/>
      <c r="K27" s="982"/>
      <c r="L27" s="582"/>
      <c r="M27" s="98"/>
    </row>
    <row r="28" spans="1:13" ht="15" customHeight="1">
      <c r="A28" s="152">
        <v>4</v>
      </c>
      <c r="B28" s="154" t="s">
        <v>189</v>
      </c>
      <c r="C28" s="104"/>
      <c r="D28" s="955">
        <f>D25*3*2.7</f>
        <v>29.517201252000003</v>
      </c>
      <c r="E28" s="970"/>
      <c r="F28" s="970"/>
      <c r="G28" s="956"/>
      <c r="H28" s="953">
        <v>0</v>
      </c>
      <c r="I28" s="969"/>
      <c r="J28" s="969"/>
      <c r="K28" s="954"/>
      <c r="L28" s="576"/>
      <c r="M28" s="98"/>
    </row>
    <row r="29" spans="1:13" ht="15" customHeight="1">
      <c r="A29" s="152">
        <v>5</v>
      </c>
      <c r="B29" s="153" t="s">
        <v>190</v>
      </c>
      <c r="C29" s="149" t="s">
        <v>191</v>
      </c>
      <c r="D29" s="947">
        <v>1.25</v>
      </c>
      <c r="E29" s="984"/>
      <c r="F29" s="984"/>
      <c r="G29" s="948"/>
      <c r="H29" s="953">
        <v>0</v>
      </c>
      <c r="I29" s="969"/>
      <c r="J29" s="969"/>
      <c r="K29" s="954"/>
      <c r="L29" s="576"/>
      <c r="M29" s="98"/>
    </row>
    <row r="30" spans="1:13" ht="15" customHeight="1">
      <c r="A30" s="152">
        <v>6</v>
      </c>
      <c r="B30" s="153" t="s">
        <v>192</v>
      </c>
      <c r="C30" s="149" t="s">
        <v>200</v>
      </c>
      <c r="D30" s="949">
        <f>D29*3</f>
        <v>3.75</v>
      </c>
      <c r="E30" s="962"/>
      <c r="F30" s="962"/>
      <c r="G30" s="950"/>
      <c r="H30" s="955">
        <f>H25*3.4</f>
        <v>10.948475999999999</v>
      </c>
      <c r="I30" s="970"/>
      <c r="J30" s="970"/>
      <c r="K30" s="956"/>
      <c r="L30" s="575"/>
      <c r="M30" s="98"/>
    </row>
    <row r="31" spans="1:13" ht="15" customHeight="1">
      <c r="A31" s="953"/>
      <c r="B31" s="969"/>
      <c r="C31" s="969"/>
      <c r="D31" s="969"/>
      <c r="E31" s="969"/>
      <c r="F31" s="969"/>
      <c r="G31" s="969"/>
      <c r="H31" s="969"/>
      <c r="I31" s="969"/>
      <c r="J31" s="969"/>
      <c r="K31" s="969"/>
      <c r="L31" s="969"/>
      <c r="M31" s="954"/>
    </row>
    <row r="32" spans="1:13" ht="15" customHeight="1">
      <c r="A32" s="152">
        <v>7</v>
      </c>
      <c r="B32" s="155" t="s">
        <v>194</v>
      </c>
      <c r="C32" s="152"/>
      <c r="D32" s="971">
        <f>(D28+D29+M32)/3</f>
        <v>10.255733750666668</v>
      </c>
      <c r="E32" s="972"/>
      <c r="F32" s="972"/>
      <c r="G32" s="973"/>
      <c r="H32" s="971">
        <f>H28+H29+H30</f>
        <v>10.948475999999999</v>
      </c>
      <c r="I32" s="972"/>
      <c r="J32" s="972"/>
      <c r="K32" s="973"/>
      <c r="L32" s="583"/>
      <c r="M32" s="98"/>
    </row>
    <row r="33" spans="1:13" ht="15" customHeight="1">
      <c r="A33" s="152"/>
      <c r="B33" s="153"/>
      <c r="C33" s="152"/>
      <c r="D33" s="949"/>
      <c r="E33" s="962"/>
      <c r="F33" s="962"/>
      <c r="G33" s="950"/>
      <c r="H33" s="949"/>
      <c r="I33" s="962"/>
      <c r="J33" s="962"/>
      <c r="K33" s="950"/>
      <c r="L33" s="574"/>
      <c r="M33" s="98"/>
    </row>
    <row r="34" spans="1:13" ht="15" customHeight="1">
      <c r="A34" s="152">
        <v>8</v>
      </c>
      <c r="B34" s="153" t="s">
        <v>378</v>
      </c>
      <c r="C34" s="156" t="s">
        <v>195</v>
      </c>
      <c r="D34" s="966">
        <f>D32*2000/100000</f>
        <v>0.20511467501333336</v>
      </c>
      <c r="E34" s="967"/>
      <c r="F34" s="967"/>
      <c r="G34" s="968"/>
      <c r="H34" s="966">
        <f>H32*2000/100000</f>
        <v>0.21896951999999997</v>
      </c>
      <c r="I34" s="967"/>
      <c r="J34" s="967"/>
      <c r="K34" s="968"/>
      <c r="L34" s="585"/>
      <c r="M34" s="98"/>
    </row>
    <row r="35" spans="1:13" ht="15" customHeight="1">
      <c r="A35" s="152">
        <v>9</v>
      </c>
      <c r="B35" s="153" t="s">
        <v>379</v>
      </c>
      <c r="C35" s="152"/>
      <c r="D35" s="966">
        <v>0</v>
      </c>
      <c r="E35" s="967"/>
      <c r="F35" s="967"/>
      <c r="G35" s="968"/>
      <c r="H35" s="966">
        <f>H27*2000/100000</f>
        <v>0.38156302799999997</v>
      </c>
      <c r="I35" s="967"/>
      <c r="J35" s="967"/>
      <c r="K35" s="968"/>
      <c r="L35" s="585"/>
      <c r="M35" s="98"/>
    </row>
    <row r="36" spans="1:13" ht="15" customHeight="1">
      <c r="A36" s="152">
        <v>10</v>
      </c>
      <c r="B36" s="153" t="s">
        <v>196</v>
      </c>
      <c r="C36" s="152"/>
      <c r="D36" s="966">
        <f>D34*289</f>
        <v>59.278141078853338</v>
      </c>
      <c r="E36" s="967"/>
      <c r="F36" s="967"/>
      <c r="G36" s="968"/>
      <c r="H36" s="966">
        <f>H34*289</f>
        <v>63.282191279999992</v>
      </c>
      <c r="I36" s="967"/>
      <c r="J36" s="967"/>
      <c r="K36" s="968"/>
      <c r="L36" s="585"/>
      <c r="M36" s="98" t="s">
        <v>197</v>
      </c>
    </row>
    <row r="37" spans="1:13" ht="15" customHeight="1">
      <c r="A37" s="152">
        <v>11</v>
      </c>
      <c r="B37" s="153" t="s">
        <v>380</v>
      </c>
      <c r="C37" s="152"/>
      <c r="D37" s="966">
        <v>0</v>
      </c>
      <c r="E37" s="967"/>
      <c r="F37" s="967"/>
      <c r="G37" s="968"/>
      <c r="H37" s="985">
        <f>H35*289</f>
        <v>110.27171509199999</v>
      </c>
      <c r="I37" s="986"/>
      <c r="J37" s="986"/>
      <c r="K37" s="987"/>
      <c r="L37" s="587"/>
      <c r="M37" s="98" t="s">
        <v>197</v>
      </c>
    </row>
    <row r="38" spans="1:13" ht="34.5" customHeight="1">
      <c r="A38" s="152">
        <v>12</v>
      </c>
      <c r="B38" s="153" t="s">
        <v>382</v>
      </c>
      <c r="C38" s="152"/>
      <c r="D38" s="966"/>
      <c r="E38" s="967"/>
      <c r="F38" s="967"/>
      <c r="G38" s="968"/>
      <c r="H38" s="974">
        <f>H36-D36+H37</f>
        <v>114.27576529314665</v>
      </c>
      <c r="I38" s="975"/>
      <c r="J38" s="975"/>
      <c r="K38" s="976"/>
      <c r="L38" s="586"/>
      <c r="M38" s="349">
        <f>H38</f>
        <v>114.27576529314665</v>
      </c>
    </row>
    <row r="39" spans="1:13" ht="36" customHeight="1">
      <c r="A39" s="789" t="s">
        <v>201</v>
      </c>
      <c r="B39" s="988"/>
      <c r="C39" s="988"/>
      <c r="D39" s="988"/>
      <c r="E39" s="988"/>
      <c r="F39" s="988"/>
      <c r="G39" s="988"/>
      <c r="H39" s="988"/>
      <c r="I39" s="988"/>
      <c r="J39" s="988"/>
      <c r="K39" s="988"/>
      <c r="L39" s="988"/>
      <c r="M39" s="989"/>
    </row>
    <row r="40" spans="1:13" ht="15" customHeight="1">
      <c r="A40" s="990" t="s">
        <v>175</v>
      </c>
      <c r="B40" s="993" t="s">
        <v>202</v>
      </c>
      <c r="C40" s="993"/>
      <c r="D40" s="994" t="s">
        <v>176</v>
      </c>
      <c r="E40" s="995"/>
      <c r="F40" s="995"/>
      <c r="G40" s="996"/>
      <c r="H40" s="1000" t="s">
        <v>177</v>
      </c>
      <c r="I40" s="1001"/>
      <c r="J40" s="1001"/>
      <c r="K40" s="1002"/>
      <c r="L40" s="577"/>
      <c r="M40" s="1006" t="s">
        <v>178</v>
      </c>
    </row>
    <row r="41" spans="1:13" ht="15" customHeight="1">
      <c r="A41" s="991"/>
      <c r="B41" s="993"/>
      <c r="C41" s="993"/>
      <c r="D41" s="997"/>
      <c r="E41" s="998"/>
      <c r="F41" s="998"/>
      <c r="G41" s="999"/>
      <c r="H41" s="1003"/>
      <c r="I41" s="1004"/>
      <c r="J41" s="1004"/>
      <c r="K41" s="1005"/>
      <c r="L41" s="578"/>
      <c r="M41" s="1006"/>
    </row>
    <row r="42" spans="1:13" ht="15" customHeight="1">
      <c r="A42" s="991"/>
      <c r="B42" s="144" t="s">
        <v>179</v>
      </c>
      <c r="C42" s="149" t="s">
        <v>203</v>
      </c>
      <c r="D42" s="949" t="s">
        <v>181</v>
      </c>
      <c r="E42" s="983"/>
      <c r="F42" s="146" t="s">
        <v>182</v>
      </c>
      <c r="G42" s="147" t="s">
        <v>183</v>
      </c>
      <c r="H42" s="949" t="s">
        <v>181</v>
      </c>
      <c r="I42" s="983"/>
      <c r="J42" s="146" t="s">
        <v>182</v>
      </c>
      <c r="K42" s="147" t="s">
        <v>183</v>
      </c>
      <c r="L42" s="147"/>
      <c r="M42" s="148"/>
    </row>
    <row r="43" spans="1:13" ht="34.5" customHeight="1">
      <c r="A43" s="992"/>
      <c r="B43" s="144" t="s">
        <v>184</v>
      </c>
      <c r="C43" s="149" t="s">
        <v>204</v>
      </c>
      <c r="D43" s="949">
        <v>2</v>
      </c>
      <c r="E43" s="983"/>
      <c r="F43" s="150">
        <v>648</v>
      </c>
      <c r="G43" s="150">
        <v>325</v>
      </c>
      <c r="H43" s="949">
        <v>2</v>
      </c>
      <c r="I43" s="983"/>
      <c r="J43" s="157">
        <v>618</v>
      </c>
      <c r="K43" s="157">
        <v>296</v>
      </c>
      <c r="L43" s="579"/>
      <c r="M43" s="615" t="s">
        <v>545</v>
      </c>
    </row>
    <row r="44" spans="1:13" ht="15" customHeight="1">
      <c r="A44" s="152">
        <v>1</v>
      </c>
      <c r="B44" s="153" t="s">
        <v>186</v>
      </c>
      <c r="C44" s="104"/>
      <c r="D44" s="947">
        <f>D43*F43*G43*7.854/1000000</f>
        <v>3.3081047999999997</v>
      </c>
      <c r="E44" s="984"/>
      <c r="F44" s="984"/>
      <c r="G44" s="948"/>
      <c r="H44" s="947">
        <f>H43*J43*K43*7.854/1000000</f>
        <v>2.8734330240000001</v>
      </c>
      <c r="I44" s="984"/>
      <c r="J44" s="984"/>
      <c r="K44" s="948"/>
      <c r="L44" s="573"/>
      <c r="M44" s="98"/>
    </row>
    <row r="45" spans="1:13" ht="15" customHeight="1">
      <c r="A45" s="152">
        <v>2</v>
      </c>
      <c r="B45" s="153" t="s">
        <v>187</v>
      </c>
      <c r="C45" s="152"/>
      <c r="D45" s="949">
        <v>0</v>
      </c>
      <c r="E45" s="962"/>
      <c r="F45" s="962"/>
      <c r="G45" s="950"/>
      <c r="H45" s="978">
        <f>D44-H44</f>
        <v>0.43467177599999962</v>
      </c>
      <c r="I45" s="979"/>
      <c r="J45" s="979"/>
      <c r="K45" s="980"/>
      <c r="L45" s="581"/>
      <c r="M45" s="98"/>
    </row>
    <row r="46" spans="1:13" ht="15" customHeight="1">
      <c r="A46" s="152">
        <v>3</v>
      </c>
      <c r="B46" s="153" t="s">
        <v>188</v>
      </c>
      <c r="C46" s="152"/>
      <c r="D46" s="949">
        <v>0</v>
      </c>
      <c r="E46" s="962"/>
      <c r="F46" s="962"/>
      <c r="G46" s="950"/>
      <c r="H46" s="978">
        <f>H45*45</f>
        <v>19.560229919999983</v>
      </c>
      <c r="I46" s="981"/>
      <c r="J46" s="981"/>
      <c r="K46" s="982"/>
      <c r="L46" s="582"/>
      <c r="M46" s="98"/>
    </row>
    <row r="47" spans="1:13" ht="15" customHeight="1">
      <c r="A47" s="152">
        <v>4</v>
      </c>
      <c r="B47" s="154" t="s">
        <v>189</v>
      </c>
      <c r="C47" s="104"/>
      <c r="D47" s="955">
        <f>D44*3*2.7</f>
        <v>26.795648880000002</v>
      </c>
      <c r="E47" s="970"/>
      <c r="F47" s="970"/>
      <c r="G47" s="956"/>
      <c r="H47" s="953">
        <v>0</v>
      </c>
      <c r="I47" s="969"/>
      <c r="J47" s="969"/>
      <c r="K47" s="954"/>
      <c r="L47" s="576"/>
      <c r="M47" s="98"/>
    </row>
    <row r="48" spans="1:13" ht="15" customHeight="1">
      <c r="A48" s="152">
        <v>5</v>
      </c>
      <c r="B48" s="153" t="s">
        <v>190</v>
      </c>
      <c r="C48" s="149" t="s">
        <v>191</v>
      </c>
      <c r="D48" s="949">
        <v>0</v>
      </c>
      <c r="E48" s="962"/>
      <c r="F48" s="962"/>
      <c r="G48" s="950"/>
      <c r="H48" s="953">
        <v>0</v>
      </c>
      <c r="I48" s="969"/>
      <c r="J48" s="969"/>
      <c r="K48" s="954"/>
      <c r="L48" s="576"/>
      <c r="M48" s="98"/>
    </row>
    <row r="49" spans="1:13" ht="15" customHeight="1">
      <c r="A49" s="152">
        <v>6</v>
      </c>
      <c r="B49" s="153" t="s">
        <v>192</v>
      </c>
      <c r="C49" s="149" t="s">
        <v>193</v>
      </c>
      <c r="D49" s="949">
        <v>3.75</v>
      </c>
      <c r="E49" s="962"/>
      <c r="F49" s="962"/>
      <c r="G49" s="950"/>
      <c r="H49" s="955">
        <f>H44*3.4</f>
        <v>9.7696722816000001</v>
      </c>
      <c r="I49" s="970"/>
      <c r="J49" s="970"/>
      <c r="K49" s="956"/>
      <c r="L49" s="575"/>
      <c r="M49" s="98"/>
    </row>
    <row r="50" spans="1:13" ht="15" customHeight="1">
      <c r="A50" s="152">
        <v>7</v>
      </c>
      <c r="B50" s="155" t="s">
        <v>194</v>
      </c>
      <c r="C50" s="152"/>
      <c r="D50" s="971">
        <f>(D47+D49)/3</f>
        <v>10.181882960000001</v>
      </c>
      <c r="E50" s="972"/>
      <c r="F50" s="972"/>
      <c r="G50" s="973"/>
      <c r="H50" s="971">
        <f>H49+H48+H47</f>
        <v>9.7696722816000001</v>
      </c>
      <c r="I50" s="972"/>
      <c r="J50" s="972"/>
      <c r="K50" s="973"/>
      <c r="L50" s="583"/>
      <c r="M50" s="98"/>
    </row>
    <row r="51" spans="1:13" ht="15" customHeight="1">
      <c r="A51" s="152"/>
      <c r="B51" s="153"/>
      <c r="C51" s="152"/>
      <c r="D51" s="949"/>
      <c r="E51" s="962"/>
      <c r="F51" s="962"/>
      <c r="G51" s="950"/>
      <c r="H51" s="949"/>
      <c r="I51" s="962"/>
      <c r="J51" s="962"/>
      <c r="K51" s="950"/>
      <c r="L51" s="574"/>
      <c r="M51" s="98"/>
    </row>
    <row r="52" spans="1:13" ht="15" customHeight="1">
      <c r="A52" s="152">
        <v>8</v>
      </c>
      <c r="B52" s="153" t="s">
        <v>378</v>
      </c>
      <c r="C52" s="156" t="s">
        <v>195</v>
      </c>
      <c r="D52" s="963">
        <f>D50*2000/100000</f>
        <v>0.20363765920000002</v>
      </c>
      <c r="E52" s="964"/>
      <c r="F52" s="964"/>
      <c r="G52" s="965"/>
      <c r="H52" s="966">
        <f>H50*2000/100000</f>
        <v>0.19539344563200001</v>
      </c>
      <c r="I52" s="967"/>
      <c r="J52" s="967"/>
      <c r="K52" s="968"/>
      <c r="L52" s="585"/>
      <c r="M52" s="98"/>
    </row>
    <row r="53" spans="1:13" ht="15" customHeight="1">
      <c r="A53" s="152">
        <v>9</v>
      </c>
      <c r="B53" s="153" t="s">
        <v>379</v>
      </c>
      <c r="C53" s="152"/>
      <c r="D53" s="966">
        <v>0</v>
      </c>
      <c r="E53" s="967"/>
      <c r="F53" s="967"/>
      <c r="G53" s="968"/>
      <c r="H53" s="966">
        <f>H46*2000/100000</f>
        <v>0.39120459839999966</v>
      </c>
      <c r="I53" s="967"/>
      <c r="J53" s="967"/>
      <c r="K53" s="968"/>
      <c r="L53" s="585"/>
      <c r="M53" s="98"/>
    </row>
    <row r="54" spans="1:13" ht="15" customHeight="1">
      <c r="A54" s="152">
        <v>10</v>
      </c>
      <c r="B54" s="153" t="s">
        <v>196</v>
      </c>
      <c r="C54" s="152"/>
      <c r="D54" s="966">
        <f>D52*289</f>
        <v>58.851283508800002</v>
      </c>
      <c r="E54" s="967"/>
      <c r="F54" s="967"/>
      <c r="G54" s="968"/>
      <c r="H54" s="966">
        <f>H52*289</f>
        <v>56.468705787648005</v>
      </c>
      <c r="I54" s="967"/>
      <c r="J54" s="967"/>
      <c r="K54" s="968"/>
      <c r="L54" s="585"/>
      <c r="M54" s="98" t="s">
        <v>197</v>
      </c>
    </row>
    <row r="55" spans="1:13" ht="15" customHeight="1">
      <c r="A55" s="152">
        <v>11</v>
      </c>
      <c r="B55" s="153" t="s">
        <v>380</v>
      </c>
      <c r="C55" s="152"/>
      <c r="D55" s="966">
        <v>0</v>
      </c>
      <c r="E55" s="967"/>
      <c r="F55" s="967"/>
      <c r="G55" s="968"/>
      <c r="H55" s="966">
        <f>H53*289</f>
        <v>113.0581289375999</v>
      </c>
      <c r="I55" s="967"/>
      <c r="J55" s="967"/>
      <c r="K55" s="968"/>
      <c r="L55" s="585"/>
      <c r="M55" s="98" t="s">
        <v>197</v>
      </c>
    </row>
    <row r="56" spans="1:13" ht="32.25" customHeight="1">
      <c r="A56" s="152">
        <v>12</v>
      </c>
      <c r="B56" s="153" t="s">
        <v>382</v>
      </c>
      <c r="C56" s="152"/>
      <c r="D56" s="966"/>
      <c r="E56" s="967"/>
      <c r="F56" s="967"/>
      <c r="G56" s="968"/>
      <c r="H56" s="974">
        <f>D54-H54+H55</f>
        <v>115.44070665875191</v>
      </c>
      <c r="I56" s="975"/>
      <c r="J56" s="975"/>
      <c r="K56" s="976"/>
      <c r="L56" s="586"/>
      <c r="M56" s="349">
        <f>H56</f>
        <v>115.44070665875191</v>
      </c>
    </row>
    <row r="57" spans="1:13" ht="19.5" customHeight="1">
      <c r="A57" s="1012" t="s">
        <v>520</v>
      </c>
      <c r="B57" s="1013"/>
      <c r="C57" s="1013"/>
      <c r="D57" s="1013"/>
      <c r="E57" s="1013"/>
      <c r="F57" s="1013"/>
      <c r="G57" s="1013"/>
      <c r="H57" s="1013"/>
      <c r="I57" s="1013"/>
      <c r="J57" s="1013"/>
      <c r="K57" s="1013"/>
      <c r="L57" s="1013"/>
      <c r="M57" s="1014"/>
    </row>
    <row r="58" spans="1:13" ht="39.75" customHeight="1">
      <c r="A58" s="569" t="s">
        <v>130</v>
      </c>
      <c r="B58" s="569" t="s">
        <v>505</v>
      </c>
      <c r="C58" s="569" t="s">
        <v>506</v>
      </c>
      <c r="D58" s="977" t="s">
        <v>513</v>
      </c>
      <c r="E58" s="977"/>
      <c r="F58" s="1011" t="s">
        <v>511</v>
      </c>
      <c r="G58" s="1011"/>
      <c r="H58" s="977" t="s">
        <v>515</v>
      </c>
      <c r="I58" s="977"/>
      <c r="J58" s="596" t="s">
        <v>531</v>
      </c>
      <c r="K58" s="597"/>
      <c r="L58" s="596" t="s">
        <v>532</v>
      </c>
      <c r="M58" s="569"/>
    </row>
    <row r="59" spans="1:13" ht="42.75" customHeight="1">
      <c r="A59" s="152"/>
      <c r="B59" s="153" t="s">
        <v>205</v>
      </c>
      <c r="C59" s="158" t="s">
        <v>206</v>
      </c>
      <c r="D59" s="949">
        <f>1440*15*0.85</f>
        <v>18360</v>
      </c>
      <c r="E59" s="950"/>
      <c r="F59" s="949"/>
      <c r="G59" s="950"/>
      <c r="H59" s="949"/>
      <c r="I59" s="950"/>
      <c r="J59" s="949"/>
      <c r="K59" s="950"/>
      <c r="L59" s="574"/>
      <c r="M59" s="98"/>
    </row>
    <row r="60" spans="1:13" ht="15" customHeight="1">
      <c r="A60" s="152">
        <v>1</v>
      </c>
      <c r="B60" s="153" t="s">
        <v>507</v>
      </c>
      <c r="C60" s="152"/>
      <c r="D60" s="949">
        <v>2000</v>
      </c>
      <c r="E60" s="950"/>
      <c r="F60" s="947">
        <f>H7</f>
        <v>4.5616032000000004</v>
      </c>
      <c r="G60" s="950"/>
      <c r="H60" s="951">
        <f>F60*D60*3.4</f>
        <v>31018.901760000001</v>
      </c>
      <c r="I60" s="952"/>
      <c r="J60" s="947">
        <f>H60*289/100000</f>
        <v>89.644626086399995</v>
      </c>
      <c r="K60" s="948"/>
      <c r="L60" s="573">
        <f>D60*4*289/100000</f>
        <v>23.12</v>
      </c>
      <c r="M60" s="98"/>
    </row>
    <row r="61" spans="1:13" ht="15" customHeight="1">
      <c r="A61" s="569">
        <v>2</v>
      </c>
      <c r="B61" s="153" t="s">
        <v>508</v>
      </c>
      <c r="C61" s="569"/>
      <c r="D61" s="949">
        <v>2000</v>
      </c>
      <c r="E61" s="950"/>
      <c r="F61" s="947">
        <f>H25</f>
        <v>3.2201399999999998</v>
      </c>
      <c r="G61" s="950"/>
      <c r="H61" s="951">
        <f t="shared" ref="H61:H69" si="0">F61*D61*3.4</f>
        <v>21896.951999999997</v>
      </c>
      <c r="I61" s="952"/>
      <c r="J61" s="947">
        <f t="shared" ref="J61:J74" si="1">H61*289/100000</f>
        <v>63.282191279999992</v>
      </c>
      <c r="K61" s="948"/>
      <c r="L61" s="573">
        <f t="shared" ref="L61:L74" si="2">D61*4*289/100000</f>
        <v>23.12</v>
      </c>
      <c r="M61" s="98"/>
    </row>
    <row r="62" spans="1:13" ht="15" customHeight="1">
      <c r="A62" s="569">
        <v>3</v>
      </c>
      <c r="B62" s="153" t="s">
        <v>509</v>
      </c>
      <c r="C62" s="569"/>
      <c r="D62" s="949">
        <v>2000</v>
      </c>
      <c r="E62" s="950"/>
      <c r="F62" s="947">
        <f>H44</f>
        <v>2.8734330240000001</v>
      </c>
      <c r="G62" s="950"/>
      <c r="H62" s="951">
        <f t="shared" si="0"/>
        <v>19539.3445632</v>
      </c>
      <c r="I62" s="952"/>
      <c r="J62" s="947">
        <f t="shared" si="1"/>
        <v>56.468705787647998</v>
      </c>
      <c r="K62" s="948"/>
      <c r="L62" s="573">
        <f t="shared" si="2"/>
        <v>23.12</v>
      </c>
      <c r="M62" s="98"/>
    </row>
    <row r="63" spans="1:13" ht="15" customHeight="1">
      <c r="A63" s="152">
        <v>4</v>
      </c>
      <c r="B63" s="153" t="s">
        <v>510</v>
      </c>
      <c r="C63" s="156"/>
      <c r="D63" s="949">
        <v>2000</v>
      </c>
      <c r="E63" s="950"/>
      <c r="F63" s="947">
        <f>Costing!P13</f>
        <v>3.45120468</v>
      </c>
      <c r="G63" s="950"/>
      <c r="H63" s="951">
        <f t="shared" si="0"/>
        <v>23468.191823999998</v>
      </c>
      <c r="I63" s="952"/>
      <c r="J63" s="947">
        <f t="shared" si="1"/>
        <v>67.823074371359994</v>
      </c>
      <c r="K63" s="948"/>
      <c r="L63" s="573">
        <f t="shared" si="2"/>
        <v>23.12</v>
      </c>
      <c r="M63" s="159"/>
    </row>
    <row r="64" spans="1:13" ht="15" customHeight="1">
      <c r="A64" s="569">
        <v>5</v>
      </c>
      <c r="B64" s="160" t="s">
        <v>207</v>
      </c>
      <c r="C64" s="104"/>
      <c r="D64" s="953">
        <v>1600</v>
      </c>
      <c r="E64" s="954"/>
      <c r="F64" s="955">
        <f>Costing!P10</f>
        <v>13.948703999999999</v>
      </c>
      <c r="G64" s="954"/>
      <c r="H64" s="951">
        <f t="shared" si="0"/>
        <v>75880.949760000003</v>
      </c>
      <c r="I64" s="952"/>
      <c r="J64" s="947">
        <f t="shared" si="1"/>
        <v>219.29594480640003</v>
      </c>
      <c r="K64" s="948"/>
      <c r="L64" s="573">
        <f t="shared" si="2"/>
        <v>18.495999999999999</v>
      </c>
      <c r="M64" s="161"/>
    </row>
    <row r="65" spans="1:13" ht="15" customHeight="1">
      <c r="A65" s="569">
        <v>6</v>
      </c>
      <c r="B65" s="160" t="s">
        <v>208</v>
      </c>
      <c r="C65" s="104"/>
      <c r="D65" s="953">
        <v>1600</v>
      </c>
      <c r="E65" s="954"/>
      <c r="F65" s="955">
        <f>Costing!P5</f>
        <v>2.5234902000000003</v>
      </c>
      <c r="G65" s="954"/>
      <c r="H65" s="951">
        <f t="shared" si="0"/>
        <v>13727.786688</v>
      </c>
      <c r="I65" s="952"/>
      <c r="J65" s="947">
        <f t="shared" si="1"/>
        <v>39.673303528320005</v>
      </c>
      <c r="K65" s="948"/>
      <c r="L65" s="573">
        <f t="shared" si="2"/>
        <v>18.495999999999999</v>
      </c>
      <c r="M65" s="161"/>
    </row>
    <row r="66" spans="1:13" ht="15" customHeight="1">
      <c r="A66" s="569">
        <v>7</v>
      </c>
      <c r="B66" s="160" t="s">
        <v>209</v>
      </c>
      <c r="C66" s="104"/>
      <c r="D66" s="953">
        <v>250</v>
      </c>
      <c r="E66" s="954"/>
      <c r="F66" s="955">
        <f>Costing!P6</f>
        <v>6.3384136199999999</v>
      </c>
      <c r="G66" s="954"/>
      <c r="H66" s="951">
        <f t="shared" si="0"/>
        <v>5387.6515769999996</v>
      </c>
      <c r="I66" s="952"/>
      <c r="J66" s="947">
        <f t="shared" si="1"/>
        <v>15.570313057529999</v>
      </c>
      <c r="K66" s="948"/>
      <c r="L66" s="573">
        <f t="shared" si="2"/>
        <v>2.89</v>
      </c>
      <c r="M66" s="161"/>
    </row>
    <row r="67" spans="1:13" ht="15" customHeight="1">
      <c r="A67" s="569">
        <v>8</v>
      </c>
      <c r="B67" s="160" t="s">
        <v>210</v>
      </c>
      <c r="C67" s="104"/>
      <c r="D67" s="953">
        <v>250</v>
      </c>
      <c r="E67" s="954"/>
      <c r="F67" s="955">
        <f>Costing!P5</f>
        <v>2.5234902000000003</v>
      </c>
      <c r="G67" s="954"/>
      <c r="H67" s="951">
        <f t="shared" si="0"/>
        <v>2144.9666700000002</v>
      </c>
      <c r="I67" s="952"/>
      <c r="J67" s="947">
        <f t="shared" si="1"/>
        <v>6.1989536763000013</v>
      </c>
      <c r="K67" s="948"/>
      <c r="L67" s="573">
        <f t="shared" si="2"/>
        <v>2.89</v>
      </c>
      <c r="M67" s="161"/>
    </row>
    <row r="68" spans="1:13" ht="15" customHeight="1">
      <c r="A68" s="569">
        <v>9</v>
      </c>
      <c r="B68" s="160" t="s">
        <v>211</v>
      </c>
      <c r="C68" s="104"/>
      <c r="D68" s="953">
        <v>1600</v>
      </c>
      <c r="E68" s="954"/>
      <c r="F68" s="955" t="e">
        <f>Costing!#REF!</f>
        <v>#REF!</v>
      </c>
      <c r="G68" s="954"/>
      <c r="H68" s="951" t="e">
        <f t="shared" si="0"/>
        <v>#REF!</v>
      </c>
      <c r="I68" s="952"/>
      <c r="J68" s="947" t="e">
        <f t="shared" si="1"/>
        <v>#REF!</v>
      </c>
      <c r="K68" s="948"/>
      <c r="L68" s="573">
        <f t="shared" si="2"/>
        <v>18.495999999999999</v>
      </c>
      <c r="M68" s="161"/>
    </row>
    <row r="69" spans="1:13" ht="15" customHeight="1">
      <c r="A69" s="569">
        <v>10</v>
      </c>
      <c r="B69" s="160" t="s">
        <v>212</v>
      </c>
      <c r="C69" s="104"/>
      <c r="D69" s="953">
        <v>1600</v>
      </c>
      <c r="E69" s="954"/>
      <c r="F69" s="955" t="e">
        <f>F68</f>
        <v>#REF!</v>
      </c>
      <c r="G69" s="954"/>
      <c r="H69" s="951" t="e">
        <f t="shared" si="0"/>
        <v>#REF!</v>
      </c>
      <c r="I69" s="952"/>
      <c r="J69" s="947" t="e">
        <f t="shared" si="1"/>
        <v>#REF!</v>
      </c>
      <c r="K69" s="948"/>
      <c r="L69" s="573">
        <f t="shared" si="2"/>
        <v>18.495999999999999</v>
      </c>
      <c r="M69" s="161"/>
    </row>
    <row r="70" spans="1:13" ht="15" customHeight="1">
      <c r="A70" s="569">
        <v>11</v>
      </c>
      <c r="B70" s="160" t="s">
        <v>512</v>
      </c>
      <c r="C70" s="104"/>
      <c r="D70" s="957">
        <v>156</v>
      </c>
      <c r="E70" s="958"/>
      <c r="F70" s="955" t="e">
        <f>Costing!#REF!</f>
        <v>#REF!</v>
      </c>
      <c r="G70" s="956"/>
      <c r="H70" s="951" t="e">
        <f>F70*D70*3.4</f>
        <v>#REF!</v>
      </c>
      <c r="I70" s="952"/>
      <c r="J70" s="947" t="e">
        <f t="shared" si="1"/>
        <v>#REF!</v>
      </c>
      <c r="K70" s="948"/>
      <c r="L70" s="573">
        <f t="shared" si="2"/>
        <v>1.8033600000000001</v>
      </c>
      <c r="M70" s="104" t="s">
        <v>514</v>
      </c>
    </row>
    <row r="71" spans="1:13" ht="15" customHeight="1">
      <c r="A71" s="417">
        <v>12</v>
      </c>
      <c r="B71" s="160" t="s">
        <v>516</v>
      </c>
      <c r="C71" s="104"/>
      <c r="D71" s="957">
        <f>D70</f>
        <v>156</v>
      </c>
      <c r="E71" s="958"/>
      <c r="F71" s="955" t="e">
        <f>Costing!#REF!</f>
        <v>#REF!</v>
      </c>
      <c r="G71" s="956"/>
      <c r="H71" s="951" t="e">
        <f>F71*D71*3.4</f>
        <v>#REF!</v>
      </c>
      <c r="I71" s="952"/>
      <c r="J71" s="947" t="e">
        <f t="shared" si="1"/>
        <v>#REF!</v>
      </c>
      <c r="K71" s="948"/>
      <c r="L71" s="573">
        <f t="shared" si="2"/>
        <v>1.8033600000000001</v>
      </c>
      <c r="M71" s="861" t="s">
        <v>335</v>
      </c>
    </row>
    <row r="72" spans="1:13" ht="15" customHeight="1">
      <c r="A72" s="417">
        <v>13</v>
      </c>
      <c r="B72" s="160" t="s">
        <v>517</v>
      </c>
      <c r="C72" s="104"/>
      <c r="D72" s="957">
        <f>D70</f>
        <v>156</v>
      </c>
      <c r="E72" s="958"/>
      <c r="F72" s="955" t="e">
        <f>Costing!#REF!</f>
        <v>#REF!</v>
      </c>
      <c r="G72" s="956"/>
      <c r="H72" s="951" t="e">
        <f>F72*D72*3.4</f>
        <v>#REF!</v>
      </c>
      <c r="I72" s="952"/>
      <c r="J72" s="947" t="e">
        <f t="shared" si="1"/>
        <v>#REF!</v>
      </c>
      <c r="K72" s="948"/>
      <c r="L72" s="573">
        <f t="shared" si="2"/>
        <v>1.8033600000000001</v>
      </c>
      <c r="M72" s="946"/>
    </row>
    <row r="73" spans="1:13" ht="15" customHeight="1">
      <c r="A73" s="417">
        <v>14</v>
      </c>
      <c r="B73" s="160" t="s">
        <v>518</v>
      </c>
      <c r="C73" s="104"/>
      <c r="D73" s="957">
        <f>D72</f>
        <v>156</v>
      </c>
      <c r="E73" s="958"/>
      <c r="F73" s="955" t="e">
        <f>Costing!#REF!</f>
        <v>#REF!</v>
      </c>
      <c r="G73" s="956"/>
      <c r="H73" s="951" t="e">
        <f>F73*D73*3.4</f>
        <v>#REF!</v>
      </c>
      <c r="I73" s="952"/>
      <c r="J73" s="947" t="e">
        <f t="shared" si="1"/>
        <v>#REF!</v>
      </c>
      <c r="K73" s="948"/>
      <c r="L73" s="573">
        <f t="shared" si="2"/>
        <v>1.8033600000000001</v>
      </c>
      <c r="M73" s="946"/>
    </row>
    <row r="74" spans="1:13" ht="15" customHeight="1">
      <c r="A74" s="417">
        <v>15</v>
      </c>
      <c r="B74" s="160" t="s">
        <v>519</v>
      </c>
      <c r="C74" s="104"/>
      <c r="D74" s="957">
        <f>150000/289</f>
        <v>519.03114186851212</v>
      </c>
      <c r="E74" s="958"/>
      <c r="F74" s="955" t="e">
        <f>Costing!#REF!</f>
        <v>#REF!</v>
      </c>
      <c r="G74" s="956"/>
      <c r="H74" s="951" t="e">
        <f>F74*D74*3.4</f>
        <v>#REF!</v>
      </c>
      <c r="I74" s="952"/>
      <c r="J74" s="947" t="e">
        <f t="shared" si="1"/>
        <v>#REF!</v>
      </c>
      <c r="K74" s="948"/>
      <c r="L74" s="573">
        <f t="shared" si="2"/>
        <v>6</v>
      </c>
      <c r="M74" s="862"/>
    </row>
    <row r="75" spans="1:13" ht="15" customHeight="1">
      <c r="A75" s="594"/>
      <c r="B75" s="598"/>
      <c r="C75" s="598"/>
      <c r="D75" s="598"/>
      <c r="E75" s="598"/>
      <c r="F75" s="598"/>
      <c r="G75" s="598"/>
      <c r="H75" s="598"/>
      <c r="I75" s="598"/>
      <c r="J75" s="598"/>
      <c r="K75" s="598"/>
      <c r="L75" s="598"/>
      <c r="M75" s="595"/>
    </row>
    <row r="76" spans="1:13" ht="15" customHeight="1" thickBot="1">
      <c r="A76" s="104"/>
      <c r="B76" s="572" t="s">
        <v>135</v>
      </c>
      <c r="C76" s="104"/>
      <c r="D76" s="957">
        <f>SUM(D60:D75)</f>
        <v>16043.031141868512</v>
      </c>
      <c r="E76" s="958"/>
      <c r="F76" s="957" t="e">
        <f>SUM(F60:F75)</f>
        <v>#REF!</v>
      </c>
      <c r="G76" s="958"/>
      <c r="H76" s="957" t="e">
        <f>SUM(H60:H75)</f>
        <v>#REF!</v>
      </c>
      <c r="I76" s="958"/>
      <c r="J76" s="1015" t="e">
        <f>SUM(J60:J75)</f>
        <v>#REF!</v>
      </c>
      <c r="K76" s="1016"/>
      <c r="L76" s="601">
        <f>SUM(L60:L75)</f>
        <v>185.45743999999999</v>
      </c>
      <c r="M76" s="161"/>
    </row>
    <row r="77" spans="1:13" ht="15" customHeight="1" thickTop="1">
      <c r="A77" s="104"/>
      <c r="B77" s="572" t="s">
        <v>213</v>
      </c>
      <c r="C77" s="104"/>
      <c r="D77" s="957">
        <f>D59-D76</f>
        <v>2316.9688581314877</v>
      </c>
      <c r="E77" s="954"/>
      <c r="F77" s="960"/>
      <c r="G77" s="961"/>
      <c r="H77" s="959"/>
      <c r="I77" s="959"/>
      <c r="J77" s="599"/>
      <c r="K77" s="599"/>
      <c r="L77" s="599"/>
      <c r="M77" s="600">
        <f>D77*4*289/100000</f>
        <v>26.784159999999996</v>
      </c>
    </row>
    <row r="78" spans="1:13" ht="15.75">
      <c r="J78" s="602" t="s">
        <v>534</v>
      </c>
      <c r="K78" s="603" t="e">
        <f>J76-L76</f>
        <v>#REF!</v>
      </c>
      <c r="L78" s="604" t="s">
        <v>533</v>
      </c>
    </row>
  </sheetData>
  <mergeCells count="186">
    <mergeCell ref="D60:E60"/>
    <mergeCell ref="H60:I60"/>
    <mergeCell ref="F60:G60"/>
    <mergeCell ref="J74:K74"/>
    <mergeCell ref="J76:K76"/>
    <mergeCell ref="J59:K59"/>
    <mergeCell ref="J68:K68"/>
    <mergeCell ref="J69:K69"/>
    <mergeCell ref="J70:K70"/>
    <mergeCell ref="J71:K71"/>
    <mergeCell ref="J72:K72"/>
    <mergeCell ref="J73:K73"/>
    <mergeCell ref="J61:K61"/>
    <mergeCell ref="J62:K62"/>
    <mergeCell ref="A1:M1"/>
    <mergeCell ref="A2:M2"/>
    <mergeCell ref="A3:A6"/>
    <mergeCell ref="B3:C4"/>
    <mergeCell ref="D3:G4"/>
    <mergeCell ref="H3:K4"/>
    <mergeCell ref="M3:M4"/>
    <mergeCell ref="F63:G63"/>
    <mergeCell ref="F58:G58"/>
    <mergeCell ref="A57:M57"/>
    <mergeCell ref="D61:E61"/>
    <mergeCell ref="D62:E62"/>
    <mergeCell ref="F61:G61"/>
    <mergeCell ref="F62:G62"/>
    <mergeCell ref="H61:I61"/>
    <mergeCell ref="H62:I62"/>
    <mergeCell ref="J60:K60"/>
    <mergeCell ref="H9:K9"/>
    <mergeCell ref="D10:G10"/>
    <mergeCell ref="H10:K10"/>
    <mergeCell ref="D11:G11"/>
    <mergeCell ref="H11:K11"/>
    <mergeCell ref="D12:G12"/>
    <mergeCell ref="H12:K12"/>
    <mergeCell ref="D5:E5"/>
    <mergeCell ref="H5:I5"/>
    <mergeCell ref="D6:E6"/>
    <mergeCell ref="H6:I6"/>
    <mergeCell ref="D7:G7"/>
    <mergeCell ref="H7:K7"/>
    <mergeCell ref="D8:G8"/>
    <mergeCell ref="H8:K8"/>
    <mergeCell ref="D9:G9"/>
    <mergeCell ref="D16:G16"/>
    <mergeCell ref="H16:K16"/>
    <mergeCell ref="D17:G17"/>
    <mergeCell ref="H17:K17"/>
    <mergeCell ref="D18:G18"/>
    <mergeCell ref="H18:K18"/>
    <mergeCell ref="D13:G13"/>
    <mergeCell ref="H13:K13"/>
    <mergeCell ref="D14:G14"/>
    <mergeCell ref="H14:K14"/>
    <mergeCell ref="D15:G15"/>
    <mergeCell ref="H15:K15"/>
    <mergeCell ref="D19:G19"/>
    <mergeCell ref="H19:K19"/>
    <mergeCell ref="A20:M20"/>
    <mergeCell ref="A21:A24"/>
    <mergeCell ref="B21:C22"/>
    <mergeCell ref="D21:G22"/>
    <mergeCell ref="H21:K22"/>
    <mergeCell ref="M21:M22"/>
    <mergeCell ref="D23:E23"/>
    <mergeCell ref="H23:I23"/>
    <mergeCell ref="D27:G27"/>
    <mergeCell ref="H27:K27"/>
    <mergeCell ref="D28:G28"/>
    <mergeCell ref="H28:K28"/>
    <mergeCell ref="D29:G29"/>
    <mergeCell ref="H29:K29"/>
    <mergeCell ref="D24:E24"/>
    <mergeCell ref="H24:I24"/>
    <mergeCell ref="D25:G25"/>
    <mergeCell ref="H25:K25"/>
    <mergeCell ref="D26:G26"/>
    <mergeCell ref="H26:K26"/>
    <mergeCell ref="D34:G34"/>
    <mergeCell ref="H34:K34"/>
    <mergeCell ref="D35:G35"/>
    <mergeCell ref="H35:K35"/>
    <mergeCell ref="D36:G36"/>
    <mergeCell ref="H36:K36"/>
    <mergeCell ref="D30:G30"/>
    <mergeCell ref="H30:K30"/>
    <mergeCell ref="A31:M31"/>
    <mergeCell ref="D32:G32"/>
    <mergeCell ref="H32:K32"/>
    <mergeCell ref="D33:G33"/>
    <mergeCell ref="H33:K33"/>
    <mergeCell ref="D37:G37"/>
    <mergeCell ref="H37:K37"/>
    <mergeCell ref="H38:K38"/>
    <mergeCell ref="A39:M39"/>
    <mergeCell ref="D38:G38"/>
    <mergeCell ref="A40:A43"/>
    <mergeCell ref="B40:C41"/>
    <mergeCell ref="D40:G41"/>
    <mergeCell ref="H40:K41"/>
    <mergeCell ref="M40:M41"/>
    <mergeCell ref="D45:G45"/>
    <mergeCell ref="H45:K45"/>
    <mergeCell ref="D46:G46"/>
    <mergeCell ref="H46:K46"/>
    <mergeCell ref="D47:G47"/>
    <mergeCell ref="H47:K47"/>
    <mergeCell ref="D42:E42"/>
    <mergeCell ref="H42:I42"/>
    <mergeCell ref="D43:E43"/>
    <mergeCell ref="H43:I43"/>
    <mergeCell ref="D44:G44"/>
    <mergeCell ref="H44:K44"/>
    <mergeCell ref="D51:G51"/>
    <mergeCell ref="H51:K51"/>
    <mergeCell ref="D52:G52"/>
    <mergeCell ref="H52:K52"/>
    <mergeCell ref="D59:E59"/>
    <mergeCell ref="H59:I59"/>
    <mergeCell ref="D48:G48"/>
    <mergeCell ref="H48:K48"/>
    <mergeCell ref="D49:G49"/>
    <mergeCell ref="H49:K49"/>
    <mergeCell ref="D50:G50"/>
    <mergeCell ref="H50:K50"/>
    <mergeCell ref="D53:G53"/>
    <mergeCell ref="H53:K53"/>
    <mergeCell ref="D54:G54"/>
    <mergeCell ref="H54:K54"/>
    <mergeCell ref="D55:G55"/>
    <mergeCell ref="H55:K55"/>
    <mergeCell ref="D56:G56"/>
    <mergeCell ref="H56:K56"/>
    <mergeCell ref="D58:E58"/>
    <mergeCell ref="H58:I58"/>
    <mergeCell ref="F59:G59"/>
    <mergeCell ref="D77:E77"/>
    <mergeCell ref="H77:I77"/>
    <mergeCell ref="H76:I76"/>
    <mergeCell ref="F77:G77"/>
    <mergeCell ref="D76:E76"/>
    <mergeCell ref="F65:G65"/>
    <mergeCell ref="F66:G66"/>
    <mergeCell ref="F67:G67"/>
    <mergeCell ref="F68:G68"/>
    <mergeCell ref="F69:G69"/>
    <mergeCell ref="F76:G76"/>
    <mergeCell ref="D73:E73"/>
    <mergeCell ref="F72:G72"/>
    <mergeCell ref="H69:I69"/>
    <mergeCell ref="D70:E70"/>
    <mergeCell ref="F70:G70"/>
    <mergeCell ref="H70:I70"/>
    <mergeCell ref="D71:E71"/>
    <mergeCell ref="H71:I71"/>
    <mergeCell ref="H72:I72"/>
    <mergeCell ref="H73:I73"/>
    <mergeCell ref="H74:I74"/>
    <mergeCell ref="D72:E72"/>
    <mergeCell ref="M71:M74"/>
    <mergeCell ref="J63:K63"/>
    <mergeCell ref="J64:K64"/>
    <mergeCell ref="J65:K65"/>
    <mergeCell ref="J66:K66"/>
    <mergeCell ref="J67:K67"/>
    <mergeCell ref="D63:E63"/>
    <mergeCell ref="H63:I63"/>
    <mergeCell ref="D64:E64"/>
    <mergeCell ref="D65:E65"/>
    <mergeCell ref="D66:E66"/>
    <mergeCell ref="D67:E67"/>
    <mergeCell ref="D68:E68"/>
    <mergeCell ref="H64:I64"/>
    <mergeCell ref="H65:I65"/>
    <mergeCell ref="H66:I66"/>
    <mergeCell ref="H67:I67"/>
    <mergeCell ref="H68:I68"/>
    <mergeCell ref="F64:G64"/>
    <mergeCell ref="D69:E69"/>
    <mergeCell ref="F71:G71"/>
    <mergeCell ref="F73:G73"/>
    <mergeCell ref="F74:G74"/>
    <mergeCell ref="D74:E74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01"/>
  <sheetViews>
    <sheetView zoomScale="80" zoomScaleNormal="80" workbookViewId="0">
      <pane xSplit="2" ySplit="3" topLeftCell="C35" activePane="bottomRight" state="frozen"/>
      <selection activeCell="D49" sqref="D49:D56"/>
      <selection pane="topRight" activeCell="D49" sqref="D49:D56"/>
      <selection pane="bottomLeft" activeCell="D49" sqref="D49:D56"/>
      <selection pane="bottomRight" activeCell="C39" sqref="C39:C41"/>
    </sheetView>
  </sheetViews>
  <sheetFormatPr defaultRowHeight="15"/>
  <cols>
    <col min="1" max="1" width="7.5703125" style="163" customWidth="1"/>
    <col min="2" max="2" width="44.85546875" style="163" customWidth="1"/>
    <col min="3" max="3" width="12" style="163" customWidth="1"/>
    <col min="4" max="4" width="9.85546875" style="196" customWidth="1"/>
    <col min="5" max="5" width="7.85546875" style="163" customWidth="1"/>
    <col min="6" max="6" width="10.5703125" style="163" customWidth="1"/>
    <col min="7" max="7" width="9.140625" style="163"/>
    <col min="8" max="8" width="7.5703125" style="163" customWidth="1"/>
    <col min="9" max="9" width="44.85546875" style="163" customWidth="1"/>
    <col min="10" max="10" width="17.28515625" style="163" customWidth="1"/>
    <col min="11" max="11" width="28.28515625" style="163" customWidth="1"/>
    <col min="12" max="12" width="11.28515625" style="163" customWidth="1"/>
    <col min="13" max="13" width="12.140625" style="163" customWidth="1"/>
    <col min="14" max="16384" width="9.140625" style="163"/>
  </cols>
  <sheetData>
    <row r="1" spans="1:13" ht="24" thickBot="1">
      <c r="A1" s="1031" t="s">
        <v>220</v>
      </c>
      <c r="B1" s="1031"/>
      <c r="C1" s="1032" t="s">
        <v>11</v>
      </c>
      <c r="D1" s="1032"/>
      <c r="E1" s="1032"/>
      <c r="F1" s="1032"/>
      <c r="G1" s="1032"/>
      <c r="H1" s="1032"/>
      <c r="I1" s="1033" t="s">
        <v>151</v>
      </c>
      <c r="J1" s="1033"/>
      <c r="K1" s="162" t="s">
        <v>12</v>
      </c>
      <c r="L1" s="1034">
        <v>41064</v>
      </c>
      <c r="M1" s="1035"/>
    </row>
    <row r="2" spans="1:13" ht="15" customHeight="1" thickTop="1">
      <c r="A2" s="1036" t="s">
        <v>15</v>
      </c>
      <c r="B2" s="1021" t="s">
        <v>0</v>
      </c>
      <c r="C2" s="1023" t="s">
        <v>13</v>
      </c>
      <c r="D2" s="1023" t="s">
        <v>2</v>
      </c>
      <c r="E2" s="1023"/>
      <c r="F2" s="1023"/>
      <c r="G2" s="1023"/>
      <c r="H2" s="1023" t="s">
        <v>10</v>
      </c>
      <c r="I2" s="1021" t="s">
        <v>3</v>
      </c>
      <c r="J2" s="1023" t="s">
        <v>4</v>
      </c>
      <c r="K2" s="1023" t="s">
        <v>5</v>
      </c>
      <c r="L2" s="1023" t="s">
        <v>6</v>
      </c>
      <c r="M2" s="1025" t="s">
        <v>16</v>
      </c>
    </row>
    <row r="3" spans="1:13" ht="45.75" thickBot="1">
      <c r="A3" s="1037"/>
      <c r="B3" s="1022"/>
      <c r="C3" s="1024"/>
      <c r="D3" s="164" t="s">
        <v>7</v>
      </c>
      <c r="E3" s="165" t="s">
        <v>8</v>
      </c>
      <c r="F3" s="165" t="s">
        <v>9</v>
      </c>
      <c r="G3" s="165" t="s">
        <v>1</v>
      </c>
      <c r="H3" s="1024"/>
      <c r="I3" s="1022"/>
      <c r="J3" s="1024"/>
      <c r="K3" s="1024"/>
      <c r="L3" s="1024"/>
      <c r="M3" s="1026"/>
    </row>
    <row r="4" spans="1:13" s="166" customFormat="1" ht="26.25" thickTop="1">
      <c r="A4" s="201">
        <v>1</v>
      </c>
      <c r="B4" s="568" t="s">
        <v>253</v>
      </c>
      <c r="C4" s="366">
        <f>180000/100000</f>
        <v>1.8</v>
      </c>
      <c r="D4" s="366">
        <f>+C4*10/12</f>
        <v>1.5</v>
      </c>
      <c r="E4" s="367">
        <f>C4*2/12</f>
        <v>0.3</v>
      </c>
      <c r="F4" s="367">
        <f>C4-D4</f>
        <v>0.30000000000000004</v>
      </c>
      <c r="G4" s="203">
        <v>100</v>
      </c>
      <c r="H4" s="204"/>
      <c r="I4" s="205" t="s">
        <v>223</v>
      </c>
      <c r="J4" s="202" t="s">
        <v>224</v>
      </c>
      <c r="K4" s="202"/>
      <c r="L4" s="206"/>
      <c r="M4" s="207"/>
    </row>
    <row r="5" spans="1:13" s="166" customFormat="1" ht="25.5">
      <c r="A5" s="208">
        <v>2</v>
      </c>
      <c r="B5" s="209" t="s">
        <v>221</v>
      </c>
      <c r="C5" s="365">
        <f>725000/100000</f>
        <v>7.25</v>
      </c>
      <c r="D5" s="368">
        <f>+C5*12/12</f>
        <v>7.25</v>
      </c>
      <c r="E5" s="365">
        <f>C5*2/12</f>
        <v>1.2083333333333333</v>
      </c>
      <c r="F5" s="365">
        <f>C5-D5</f>
        <v>0</v>
      </c>
      <c r="G5" s="211">
        <v>100</v>
      </c>
      <c r="H5" s="212"/>
      <c r="I5" s="213" t="s">
        <v>225</v>
      </c>
      <c r="J5" s="210" t="s">
        <v>226</v>
      </c>
      <c r="K5" s="210"/>
      <c r="L5" s="214"/>
      <c r="M5" s="215"/>
    </row>
    <row r="6" spans="1:13" s="166" customFormat="1" ht="25.5">
      <c r="A6" s="208">
        <v>3</v>
      </c>
      <c r="B6" s="216" t="s">
        <v>254</v>
      </c>
      <c r="C6" s="365">
        <f>1330330/100000</f>
        <v>13.3033</v>
      </c>
      <c r="D6" s="368">
        <f>+C6*11.5/12</f>
        <v>12.748995833333334</v>
      </c>
      <c r="E6" s="365">
        <f>C6*1.5/12</f>
        <v>1.6629125</v>
      </c>
      <c r="F6" s="365">
        <f t="shared" ref="F6:F34" si="0">C6-D6</f>
        <v>0.55430416666666638</v>
      </c>
      <c r="G6" s="211">
        <v>100</v>
      </c>
      <c r="H6" s="212"/>
      <c r="I6" s="213" t="s">
        <v>227</v>
      </c>
      <c r="J6" s="210" t="s">
        <v>226</v>
      </c>
      <c r="K6" s="210"/>
      <c r="L6" s="214"/>
      <c r="M6" s="215"/>
    </row>
    <row r="7" spans="1:13" s="166" customFormat="1" ht="25.5">
      <c r="A7" s="208">
        <v>4</v>
      </c>
      <c r="B7" s="216" t="s">
        <v>255</v>
      </c>
      <c r="C7" s="365">
        <f>7285150/100000</f>
        <v>72.851500000000001</v>
      </c>
      <c r="D7" s="368">
        <f>+C7*11.5/12</f>
        <v>69.816020833333326</v>
      </c>
      <c r="E7" s="365">
        <f>C7*1.5/12</f>
        <v>9.1064375000000002</v>
      </c>
      <c r="F7" s="365">
        <f t="shared" si="0"/>
        <v>3.0354791666666756</v>
      </c>
      <c r="G7" s="211">
        <v>100</v>
      </c>
      <c r="H7" s="212"/>
      <c r="I7" s="213" t="s">
        <v>227</v>
      </c>
      <c r="J7" s="210" t="s">
        <v>226</v>
      </c>
      <c r="K7" s="210"/>
      <c r="L7" s="214"/>
      <c r="M7" s="215"/>
    </row>
    <row r="8" spans="1:13" s="166" customFormat="1" ht="25.5">
      <c r="A8" s="208">
        <v>5</v>
      </c>
      <c r="B8" s="216" t="s">
        <v>256</v>
      </c>
      <c r="C8" s="365">
        <f>700000/100000</f>
        <v>7</v>
      </c>
      <c r="D8" s="368">
        <f>+C8*12/12</f>
        <v>7</v>
      </c>
      <c r="E8" s="365">
        <f>C8*2/12</f>
        <v>1.1666666666666667</v>
      </c>
      <c r="F8" s="365">
        <f t="shared" si="0"/>
        <v>0</v>
      </c>
      <c r="G8" s="211">
        <v>100</v>
      </c>
      <c r="H8" s="212"/>
      <c r="I8" s="213" t="s">
        <v>228</v>
      </c>
      <c r="J8" s="210" t="s">
        <v>226</v>
      </c>
      <c r="K8" s="210"/>
      <c r="L8" s="214"/>
      <c r="M8" s="215"/>
    </row>
    <row r="9" spans="1:13" s="166" customFormat="1" ht="25.5">
      <c r="A9" s="398">
        <v>6</v>
      </c>
      <c r="B9" s="399" t="s">
        <v>257</v>
      </c>
      <c r="C9" s="369">
        <v>0</v>
      </c>
      <c r="D9" s="369">
        <v>0</v>
      </c>
      <c r="E9" s="369">
        <v>0</v>
      </c>
      <c r="F9" s="369">
        <f t="shared" si="0"/>
        <v>0</v>
      </c>
      <c r="G9" s="211">
        <v>100</v>
      </c>
      <c r="H9" s="212"/>
      <c r="I9" s="400" t="s">
        <v>393</v>
      </c>
      <c r="J9" s="218" t="s">
        <v>229</v>
      </c>
      <c r="K9" s="218"/>
      <c r="L9" s="221"/>
      <c r="M9" s="401"/>
    </row>
    <row r="10" spans="1:13" s="166" customFormat="1" ht="25.5">
      <c r="A10" s="208">
        <v>7</v>
      </c>
      <c r="B10" s="567" t="s">
        <v>230</v>
      </c>
      <c r="C10" s="365">
        <f>710000/100000</f>
        <v>7.1</v>
      </c>
      <c r="D10" s="368">
        <f>+C10*11/12</f>
        <v>6.5083333333333329</v>
      </c>
      <c r="E10" s="365">
        <f>C10*1/12</f>
        <v>0.59166666666666667</v>
      </c>
      <c r="F10" s="365">
        <f t="shared" si="0"/>
        <v>0.59166666666666679</v>
      </c>
      <c r="G10" s="211">
        <v>100</v>
      </c>
      <c r="H10" s="212"/>
      <c r="I10" s="213" t="s">
        <v>231</v>
      </c>
      <c r="J10" s="210" t="s">
        <v>224</v>
      </c>
      <c r="K10" s="210"/>
      <c r="L10" s="214"/>
      <c r="M10" s="215"/>
    </row>
    <row r="11" spans="1:13" s="166" customFormat="1" ht="25.5">
      <c r="A11" s="208">
        <v>8</v>
      </c>
      <c r="B11" s="567" t="s">
        <v>232</v>
      </c>
      <c r="C11" s="365">
        <f>270000/100000</f>
        <v>2.7</v>
      </c>
      <c r="D11" s="368">
        <f>+C11*10/12</f>
        <v>2.25</v>
      </c>
      <c r="E11" s="365">
        <v>0</v>
      </c>
      <c r="F11" s="365">
        <f t="shared" si="0"/>
        <v>0.45000000000000018</v>
      </c>
      <c r="G11" s="211">
        <v>100</v>
      </c>
      <c r="H11" s="212"/>
      <c r="I11" s="213" t="s">
        <v>233</v>
      </c>
      <c r="J11" s="210" t="s">
        <v>224</v>
      </c>
      <c r="K11" s="210"/>
      <c r="L11" s="214"/>
      <c r="M11" s="215"/>
    </row>
    <row r="12" spans="1:13" s="166" customFormat="1" ht="25.5">
      <c r="A12" s="208">
        <v>9</v>
      </c>
      <c r="B12" s="399" t="s">
        <v>258</v>
      </c>
      <c r="C12" s="365">
        <f>320000/100000</f>
        <v>3.2</v>
      </c>
      <c r="D12" s="368">
        <f>+C12*12/12</f>
        <v>3.2000000000000006</v>
      </c>
      <c r="E12" s="365">
        <f>C12*2/12</f>
        <v>0.53333333333333333</v>
      </c>
      <c r="F12" s="365">
        <f t="shared" si="0"/>
        <v>0</v>
      </c>
      <c r="G12" s="211">
        <v>100</v>
      </c>
      <c r="H12" s="212"/>
      <c r="I12" s="213" t="s">
        <v>234</v>
      </c>
      <c r="J12" s="210" t="s">
        <v>224</v>
      </c>
      <c r="K12" s="210"/>
      <c r="L12" s="214"/>
      <c r="M12" s="215"/>
    </row>
    <row r="13" spans="1:13" s="166" customFormat="1" ht="25.5">
      <c r="A13" s="208">
        <v>10</v>
      </c>
      <c r="B13" s="217" t="s">
        <v>259</v>
      </c>
      <c r="C13" s="365">
        <f>320000/100000</f>
        <v>3.2</v>
      </c>
      <c r="D13" s="368">
        <f>+C13*11.5/12</f>
        <v>3.0666666666666669</v>
      </c>
      <c r="E13" s="365">
        <f>C13*1.5/12</f>
        <v>0.40000000000000008</v>
      </c>
      <c r="F13" s="365">
        <f t="shared" si="0"/>
        <v>0.1333333333333333</v>
      </c>
      <c r="G13" s="211">
        <v>100</v>
      </c>
      <c r="H13" s="212"/>
      <c r="I13" s="213" t="s">
        <v>235</v>
      </c>
      <c r="J13" s="210" t="s">
        <v>229</v>
      </c>
      <c r="K13" s="210"/>
      <c r="L13" s="214"/>
      <c r="M13" s="215"/>
    </row>
    <row r="14" spans="1:13" s="166" customFormat="1" ht="25.5">
      <c r="A14" s="208">
        <v>11</v>
      </c>
      <c r="B14" s="216" t="s">
        <v>260</v>
      </c>
      <c r="C14" s="365">
        <f>2760000/100000</f>
        <v>27.6</v>
      </c>
      <c r="D14" s="368">
        <f>+C14*11.5/12</f>
        <v>26.450000000000003</v>
      </c>
      <c r="E14" s="365">
        <f>C14*1.5/12</f>
        <v>3.4500000000000006</v>
      </c>
      <c r="F14" s="365">
        <f t="shared" si="0"/>
        <v>1.1499999999999986</v>
      </c>
      <c r="G14" s="211">
        <v>100</v>
      </c>
      <c r="H14" s="212"/>
      <c r="I14" s="213" t="s">
        <v>236</v>
      </c>
      <c r="J14" s="210" t="s">
        <v>237</v>
      </c>
      <c r="K14" s="210"/>
      <c r="L14" s="214"/>
      <c r="M14" s="215"/>
    </row>
    <row r="15" spans="1:13" s="166" customFormat="1" ht="25.5">
      <c r="A15" s="208">
        <v>12</v>
      </c>
      <c r="B15" s="216" t="s">
        <v>261</v>
      </c>
      <c r="C15" s="365">
        <f>260000/100000</f>
        <v>2.6</v>
      </c>
      <c r="D15" s="368">
        <f>+C15*11/12</f>
        <v>2.3833333333333333</v>
      </c>
      <c r="E15" s="365">
        <f>C15*1/12</f>
        <v>0.21666666666666667</v>
      </c>
      <c r="F15" s="365">
        <f t="shared" si="0"/>
        <v>0.21666666666666679</v>
      </c>
      <c r="G15" s="211">
        <v>100</v>
      </c>
      <c r="H15" s="212"/>
      <c r="I15" s="213" t="s">
        <v>238</v>
      </c>
      <c r="J15" s="210" t="s">
        <v>226</v>
      </c>
      <c r="K15" s="210"/>
      <c r="L15" s="214"/>
      <c r="M15" s="215"/>
    </row>
    <row r="16" spans="1:13" s="166" customFormat="1" ht="25.5">
      <c r="A16" s="208">
        <v>13</v>
      </c>
      <c r="B16" s="134" t="s">
        <v>262</v>
      </c>
      <c r="C16" s="368">
        <f>670000/100000</f>
        <v>6.7</v>
      </c>
      <c r="D16" s="368">
        <f>C16*9/12</f>
        <v>5.0250000000000004</v>
      </c>
      <c r="E16" s="365">
        <v>0</v>
      </c>
      <c r="F16" s="365">
        <f t="shared" si="0"/>
        <v>1.6749999999999998</v>
      </c>
      <c r="G16" s="211">
        <v>75</v>
      </c>
      <c r="H16" s="218"/>
      <c r="I16" s="565" t="s">
        <v>285</v>
      </c>
      <c r="J16" s="210" t="s">
        <v>226</v>
      </c>
      <c r="K16" s="210" t="s">
        <v>239</v>
      </c>
      <c r="L16" s="214">
        <v>41189</v>
      </c>
      <c r="M16" s="219"/>
    </row>
    <row r="17" spans="1:13" s="166" customFormat="1" ht="25.5">
      <c r="A17" s="208">
        <v>14</v>
      </c>
      <c r="B17" s="134" t="s">
        <v>263</v>
      </c>
      <c r="C17" s="368">
        <f>4535380/100000</f>
        <v>45.3538</v>
      </c>
      <c r="D17" s="368">
        <f>400000/100000</f>
        <v>4</v>
      </c>
      <c r="E17" s="365">
        <v>0</v>
      </c>
      <c r="F17" s="365">
        <f t="shared" si="0"/>
        <v>41.3538</v>
      </c>
      <c r="G17" s="211">
        <v>50</v>
      </c>
      <c r="H17" s="218"/>
      <c r="I17" s="565" t="s">
        <v>240</v>
      </c>
      <c r="J17" s="210" t="s">
        <v>226</v>
      </c>
      <c r="K17" s="210" t="s">
        <v>239</v>
      </c>
      <c r="L17" s="214">
        <v>41189</v>
      </c>
      <c r="M17" s="219"/>
    </row>
    <row r="18" spans="1:13" s="166" customFormat="1" ht="25.5">
      <c r="A18" s="208">
        <v>15</v>
      </c>
      <c r="B18" s="134" t="s">
        <v>264</v>
      </c>
      <c r="C18" s="368">
        <f>150000/100000</f>
        <v>1.5</v>
      </c>
      <c r="D18" s="368">
        <f>+C18*9/12</f>
        <v>1.125</v>
      </c>
      <c r="E18" s="365">
        <v>0</v>
      </c>
      <c r="F18" s="365">
        <f t="shared" si="0"/>
        <v>0.375</v>
      </c>
      <c r="G18" s="211">
        <v>50</v>
      </c>
      <c r="H18" s="218"/>
      <c r="I18" s="565" t="s">
        <v>241</v>
      </c>
      <c r="J18" s="210" t="s">
        <v>226</v>
      </c>
      <c r="K18" s="210" t="s">
        <v>239</v>
      </c>
      <c r="L18" s="214">
        <v>41189</v>
      </c>
      <c r="M18" s="219"/>
    </row>
    <row r="19" spans="1:13" s="166" customFormat="1" ht="25.5">
      <c r="A19" s="208">
        <v>16</v>
      </c>
      <c r="B19" s="134" t="s">
        <v>265</v>
      </c>
      <c r="C19" s="368">
        <f>1110000/100000</f>
        <v>11.1</v>
      </c>
      <c r="D19" s="368">
        <f>+C19*9/12</f>
        <v>8.3249999999999993</v>
      </c>
      <c r="E19" s="365">
        <v>0</v>
      </c>
      <c r="F19" s="365">
        <f t="shared" si="0"/>
        <v>2.7750000000000004</v>
      </c>
      <c r="G19" s="211">
        <v>100</v>
      </c>
      <c r="H19" s="212"/>
      <c r="I19" s="565" t="s">
        <v>503</v>
      </c>
      <c r="J19" s="210" t="s">
        <v>224</v>
      </c>
      <c r="K19" s="210" t="s">
        <v>242</v>
      </c>
      <c r="L19" s="220" t="s">
        <v>243</v>
      </c>
      <c r="M19" s="219"/>
    </row>
    <row r="20" spans="1:13" s="166" customFormat="1" ht="25.5">
      <c r="A20" s="208">
        <v>17</v>
      </c>
      <c r="B20" s="216" t="s">
        <v>266</v>
      </c>
      <c r="C20" s="365">
        <f>1080000/100000</f>
        <v>10.8</v>
      </c>
      <c r="D20" s="368">
        <f>+C20*8.5/12</f>
        <v>7.6500000000000012</v>
      </c>
      <c r="E20" s="365">
        <v>0</v>
      </c>
      <c r="F20" s="365">
        <f t="shared" si="0"/>
        <v>3.1499999999999995</v>
      </c>
      <c r="G20" s="211">
        <v>100</v>
      </c>
      <c r="H20" s="212"/>
      <c r="I20" s="565" t="s">
        <v>503</v>
      </c>
      <c r="J20" s="210" t="s">
        <v>244</v>
      </c>
      <c r="K20" s="210" t="s">
        <v>245</v>
      </c>
      <c r="L20" s="214" t="s">
        <v>246</v>
      </c>
      <c r="M20" s="215"/>
    </row>
    <row r="21" spans="1:13" s="166" customFormat="1" ht="24.75" customHeight="1">
      <c r="A21" s="398">
        <v>18</v>
      </c>
      <c r="B21" s="399" t="s">
        <v>267</v>
      </c>
      <c r="C21" s="369">
        <v>0</v>
      </c>
      <c r="D21" s="369">
        <v>0</v>
      </c>
      <c r="E21" s="369">
        <v>0</v>
      </c>
      <c r="F21" s="369">
        <f t="shared" si="0"/>
        <v>0</v>
      </c>
      <c r="G21" s="211">
        <v>100</v>
      </c>
      <c r="H21" s="212"/>
      <c r="I21" s="400" t="s">
        <v>393</v>
      </c>
      <c r="J21" s="218" t="s">
        <v>247</v>
      </c>
      <c r="K21" s="218" t="s">
        <v>248</v>
      </c>
      <c r="L21" s="221"/>
      <c r="M21" s="401"/>
    </row>
    <row r="22" spans="1:13" s="166" customFormat="1" ht="25.5">
      <c r="A22" s="208">
        <v>19</v>
      </c>
      <c r="B22" s="216" t="s">
        <v>268</v>
      </c>
      <c r="C22" s="365">
        <f>590000/100000</f>
        <v>5.9</v>
      </c>
      <c r="D22" s="368">
        <f>+C22*9/12</f>
        <v>4.4249999999999998</v>
      </c>
      <c r="E22" s="365">
        <v>0</v>
      </c>
      <c r="F22" s="365">
        <f t="shared" si="0"/>
        <v>1.4750000000000005</v>
      </c>
      <c r="G22" s="211">
        <v>50</v>
      </c>
      <c r="H22" s="218"/>
      <c r="I22" s="565" t="s">
        <v>286</v>
      </c>
      <c r="J22" s="210" t="s">
        <v>226</v>
      </c>
      <c r="K22" s="210" t="s">
        <v>248</v>
      </c>
      <c r="L22" s="220" t="s">
        <v>243</v>
      </c>
      <c r="M22" s="215"/>
    </row>
    <row r="23" spans="1:13" s="166" customFormat="1" ht="25.5">
      <c r="A23" s="208">
        <v>20</v>
      </c>
      <c r="B23" s="217" t="s">
        <v>269</v>
      </c>
      <c r="C23" s="365">
        <f>2150000/100000</f>
        <v>21.5</v>
      </c>
      <c r="D23" s="368">
        <f>+C23*7/12</f>
        <v>12.541666666666666</v>
      </c>
      <c r="E23" s="365">
        <v>0</v>
      </c>
      <c r="F23" s="365">
        <f t="shared" si="0"/>
        <v>8.9583333333333339</v>
      </c>
      <c r="G23" s="211">
        <v>50</v>
      </c>
      <c r="H23" s="218"/>
      <c r="I23" s="565" t="s">
        <v>287</v>
      </c>
      <c r="J23" s="210" t="s">
        <v>237</v>
      </c>
      <c r="K23" s="210" t="s">
        <v>248</v>
      </c>
      <c r="L23" s="220" t="s">
        <v>249</v>
      </c>
      <c r="M23" s="215"/>
    </row>
    <row r="24" spans="1:13" s="166" customFormat="1" ht="25.5">
      <c r="A24" s="222">
        <v>21</v>
      </c>
      <c r="B24" s="217" t="s">
        <v>288</v>
      </c>
      <c r="C24" s="365">
        <f>330000/100000</f>
        <v>3.3</v>
      </c>
      <c r="D24" s="368">
        <f>+C24*7/12</f>
        <v>1.9249999999999998</v>
      </c>
      <c r="E24" s="365">
        <v>0</v>
      </c>
      <c r="F24" s="365">
        <f t="shared" si="0"/>
        <v>1.375</v>
      </c>
      <c r="G24" s="211">
        <v>50</v>
      </c>
      <c r="H24" s="218"/>
      <c r="I24" s="565" t="s">
        <v>250</v>
      </c>
      <c r="J24" s="210" t="s">
        <v>229</v>
      </c>
      <c r="K24" s="210" t="s">
        <v>248</v>
      </c>
      <c r="L24" s="214" t="s">
        <v>246</v>
      </c>
      <c r="M24" s="215"/>
    </row>
    <row r="25" spans="1:13" s="166" customFormat="1" ht="25.5">
      <c r="A25" s="222">
        <v>22</v>
      </c>
      <c r="B25" s="567" t="s">
        <v>251</v>
      </c>
      <c r="C25" s="365">
        <f>400000/100000</f>
        <v>4</v>
      </c>
      <c r="D25" s="368">
        <f>+C25*8.5/12</f>
        <v>2.8333333333333335</v>
      </c>
      <c r="E25" s="365">
        <v>0</v>
      </c>
      <c r="F25" s="365">
        <f t="shared" si="0"/>
        <v>1.1666666666666665</v>
      </c>
      <c r="G25" s="211">
        <v>50</v>
      </c>
      <c r="H25" s="218"/>
      <c r="I25" s="565" t="s">
        <v>289</v>
      </c>
      <c r="J25" s="210" t="s">
        <v>224</v>
      </c>
      <c r="K25" s="210" t="s">
        <v>248</v>
      </c>
      <c r="L25" s="214" t="s">
        <v>249</v>
      </c>
      <c r="M25" s="215"/>
    </row>
    <row r="26" spans="1:13" s="166" customFormat="1" ht="25.5">
      <c r="A26" s="222">
        <v>23</v>
      </c>
      <c r="B26" s="566" t="s">
        <v>270</v>
      </c>
      <c r="C26" s="365">
        <f>140000/100000</f>
        <v>1.4</v>
      </c>
      <c r="D26" s="368">
        <v>0</v>
      </c>
      <c r="E26" s="365">
        <v>0</v>
      </c>
      <c r="F26" s="365">
        <f t="shared" si="0"/>
        <v>1.4</v>
      </c>
      <c r="G26" s="211">
        <v>50</v>
      </c>
      <c r="H26" s="218"/>
      <c r="I26" s="565" t="s">
        <v>290</v>
      </c>
      <c r="J26" s="210" t="s">
        <v>224</v>
      </c>
      <c r="K26" s="210" t="s">
        <v>242</v>
      </c>
      <c r="L26" s="214" t="s">
        <v>243</v>
      </c>
      <c r="M26" s="215"/>
    </row>
    <row r="27" spans="1:13" s="166" customFormat="1" ht="25.5">
      <c r="A27" s="222">
        <v>24</v>
      </c>
      <c r="B27" s="399" t="s">
        <v>271</v>
      </c>
      <c r="C27" s="365">
        <f>40000/100000</f>
        <v>0.4</v>
      </c>
      <c r="D27" s="368">
        <f>+C27*6/12</f>
        <v>0.20000000000000004</v>
      </c>
      <c r="E27" s="365">
        <v>0</v>
      </c>
      <c r="F27" s="365">
        <f t="shared" si="0"/>
        <v>0.19999999999999998</v>
      </c>
      <c r="G27" s="211">
        <v>75</v>
      </c>
      <c r="H27" s="218"/>
      <c r="I27" s="213" t="s">
        <v>291</v>
      </c>
      <c r="J27" s="210" t="s">
        <v>224</v>
      </c>
      <c r="K27" s="210" t="s">
        <v>248</v>
      </c>
      <c r="L27" s="214" t="s">
        <v>252</v>
      </c>
      <c r="M27" s="215"/>
    </row>
    <row r="28" spans="1:13" s="166" customFormat="1" ht="25.5">
      <c r="A28" s="222">
        <v>25</v>
      </c>
      <c r="B28" s="216" t="s">
        <v>272</v>
      </c>
      <c r="C28" s="365">
        <f>100000/100000</f>
        <v>1</v>
      </c>
      <c r="D28" s="368">
        <f>+C28*5/12</f>
        <v>0.41666666666666669</v>
      </c>
      <c r="E28" s="365">
        <v>0</v>
      </c>
      <c r="F28" s="365">
        <f t="shared" si="0"/>
        <v>0.58333333333333326</v>
      </c>
      <c r="G28" s="211">
        <v>75</v>
      </c>
      <c r="H28" s="218"/>
      <c r="I28" s="213" t="s">
        <v>291</v>
      </c>
      <c r="J28" s="210" t="s">
        <v>226</v>
      </c>
      <c r="K28" s="210" t="s">
        <v>248</v>
      </c>
      <c r="L28" s="214" t="s">
        <v>252</v>
      </c>
      <c r="M28" s="215"/>
    </row>
    <row r="29" spans="1:13" s="166" customFormat="1" ht="25.5">
      <c r="A29" s="222">
        <v>26</v>
      </c>
      <c r="B29" s="216" t="s">
        <v>294</v>
      </c>
      <c r="C29" s="365">
        <f>120000/100000</f>
        <v>1.2</v>
      </c>
      <c r="D29" s="368">
        <f>+C29*8/12</f>
        <v>0.79999999999999993</v>
      </c>
      <c r="E29" s="365">
        <v>0</v>
      </c>
      <c r="F29" s="365">
        <f t="shared" si="0"/>
        <v>0.4</v>
      </c>
      <c r="G29" s="211">
        <v>75</v>
      </c>
      <c r="H29" s="218"/>
      <c r="I29" s="213" t="s">
        <v>292</v>
      </c>
      <c r="J29" s="210" t="s">
        <v>226</v>
      </c>
      <c r="K29" s="210" t="s">
        <v>248</v>
      </c>
      <c r="L29" s="214" t="s">
        <v>252</v>
      </c>
      <c r="M29" s="215"/>
    </row>
    <row r="30" spans="1:13" s="166" customFormat="1" ht="25.5">
      <c r="A30" s="222">
        <v>27</v>
      </c>
      <c r="B30" s="216" t="s">
        <v>293</v>
      </c>
      <c r="C30" s="365">
        <f>20000/100000</f>
        <v>0.2</v>
      </c>
      <c r="D30" s="368">
        <v>0</v>
      </c>
      <c r="E30" s="365">
        <v>0</v>
      </c>
      <c r="F30" s="365">
        <f t="shared" si="0"/>
        <v>0.2</v>
      </c>
      <c r="G30" s="211">
        <v>50</v>
      </c>
      <c r="H30" s="218"/>
      <c r="I30" s="213" t="s">
        <v>295</v>
      </c>
      <c r="J30" s="210" t="s">
        <v>226</v>
      </c>
      <c r="K30" s="210" t="s">
        <v>248</v>
      </c>
      <c r="L30" s="214" t="s">
        <v>249</v>
      </c>
      <c r="M30" s="215"/>
    </row>
    <row r="31" spans="1:13" s="166" customFormat="1" ht="24.95" customHeight="1">
      <c r="A31" s="235">
        <v>28</v>
      </c>
      <c r="B31" s="236" t="s">
        <v>276</v>
      </c>
      <c r="C31" s="370">
        <f>845994/100000</f>
        <v>8.4599399999999996</v>
      </c>
      <c r="D31" s="368">
        <f>+C31*8/12</f>
        <v>5.6399599999999994</v>
      </c>
      <c r="E31" s="370">
        <v>0</v>
      </c>
      <c r="F31" s="370">
        <f t="shared" si="0"/>
        <v>2.8199800000000002</v>
      </c>
      <c r="G31" s="238">
        <v>25</v>
      </c>
      <c r="H31" s="239"/>
      <c r="I31" s="240" t="s">
        <v>280</v>
      </c>
      <c r="J31" s="210" t="s">
        <v>226</v>
      </c>
      <c r="K31" s="210" t="s">
        <v>248</v>
      </c>
      <c r="L31" s="214" t="s">
        <v>281</v>
      </c>
      <c r="M31" s="241"/>
    </row>
    <row r="32" spans="1:13" s="166" customFormat="1" ht="24.95" customHeight="1">
      <c r="A32" s="235">
        <v>29</v>
      </c>
      <c r="B32" s="236" t="s">
        <v>277</v>
      </c>
      <c r="C32" s="370">
        <f>879133/100000</f>
        <v>8.7913300000000003</v>
      </c>
      <c r="D32" s="368">
        <f>+C32*8/12</f>
        <v>5.8608866666666666</v>
      </c>
      <c r="E32" s="370">
        <v>0</v>
      </c>
      <c r="F32" s="370">
        <f t="shared" si="0"/>
        <v>2.9304433333333337</v>
      </c>
      <c r="G32" s="238">
        <v>25</v>
      </c>
      <c r="H32" s="239"/>
      <c r="I32" s="240" t="s">
        <v>280</v>
      </c>
      <c r="J32" s="210" t="s">
        <v>226</v>
      </c>
      <c r="K32" s="210" t="s">
        <v>248</v>
      </c>
      <c r="L32" s="214" t="s">
        <v>282</v>
      </c>
      <c r="M32" s="241"/>
    </row>
    <row r="33" spans="1:13" s="166" customFormat="1" ht="24.95" customHeight="1">
      <c r="A33" s="235">
        <v>30</v>
      </c>
      <c r="B33" s="236" t="s">
        <v>278</v>
      </c>
      <c r="C33" s="370">
        <f>35886/100000</f>
        <v>0.35886000000000001</v>
      </c>
      <c r="D33" s="368">
        <f>+C33*8/12</f>
        <v>0.23924000000000001</v>
      </c>
      <c r="E33" s="370">
        <v>0</v>
      </c>
      <c r="F33" s="370">
        <f t="shared" si="0"/>
        <v>0.11962</v>
      </c>
      <c r="G33" s="238">
        <v>25</v>
      </c>
      <c r="H33" s="239"/>
      <c r="I33" s="240" t="s">
        <v>280</v>
      </c>
      <c r="J33" s="210" t="s">
        <v>226</v>
      </c>
      <c r="K33" s="210" t="s">
        <v>248</v>
      </c>
      <c r="L33" s="214" t="s">
        <v>283</v>
      </c>
      <c r="M33" s="241"/>
    </row>
    <row r="34" spans="1:13" s="166" customFormat="1" ht="24.95" customHeight="1">
      <c r="A34" s="235">
        <v>31</v>
      </c>
      <c r="B34" s="236" t="s">
        <v>279</v>
      </c>
      <c r="C34" s="370">
        <f>735559/100000</f>
        <v>7.3555900000000003</v>
      </c>
      <c r="D34" s="368">
        <f>+C34*8/12</f>
        <v>4.9037266666666666</v>
      </c>
      <c r="E34" s="370">
        <v>0</v>
      </c>
      <c r="F34" s="370">
        <f t="shared" si="0"/>
        <v>2.4518633333333337</v>
      </c>
      <c r="G34" s="238">
        <v>25</v>
      </c>
      <c r="H34" s="239"/>
      <c r="I34" s="240" t="s">
        <v>280</v>
      </c>
      <c r="J34" s="210" t="s">
        <v>226</v>
      </c>
      <c r="K34" s="210" t="s">
        <v>248</v>
      </c>
      <c r="L34" s="214" t="s">
        <v>284</v>
      </c>
      <c r="M34" s="241"/>
    </row>
    <row r="35" spans="1:13" customFormat="1" ht="30">
      <c r="A35" s="235">
        <v>32</v>
      </c>
      <c r="B35" s="236" t="s">
        <v>86</v>
      </c>
      <c r="C35" s="370">
        <f>259771/100000</f>
        <v>2.5977100000000002</v>
      </c>
      <c r="D35" s="368">
        <f>152000/100000</f>
        <v>1.52</v>
      </c>
      <c r="E35" s="370">
        <v>0</v>
      </c>
      <c r="F35" s="370">
        <f>C35-D35</f>
        <v>1.0777100000000002</v>
      </c>
      <c r="G35" s="238">
        <v>50</v>
      </c>
      <c r="H35" s="239"/>
      <c r="I35" s="2" t="s">
        <v>273</v>
      </c>
      <c r="J35" s="248" t="s">
        <v>218</v>
      </c>
      <c r="K35" s="210" t="s">
        <v>52</v>
      </c>
      <c r="L35" s="214">
        <v>40917</v>
      </c>
      <c r="M35" s="59"/>
    </row>
    <row r="36" spans="1:13" s="166" customFormat="1" ht="24.95" customHeight="1">
      <c r="A36" s="235">
        <v>33</v>
      </c>
      <c r="B36" s="236" t="s">
        <v>390</v>
      </c>
      <c r="C36" s="370">
        <v>4.03</v>
      </c>
      <c r="D36" s="368">
        <v>2.68</v>
      </c>
      <c r="E36" s="370">
        <v>0</v>
      </c>
      <c r="F36" s="370">
        <f>C36-D36</f>
        <v>1.35</v>
      </c>
      <c r="G36" s="238"/>
      <c r="H36" s="239"/>
      <c r="I36" s="392" t="s">
        <v>391</v>
      </c>
      <c r="J36" s="210" t="s">
        <v>226</v>
      </c>
      <c r="K36" s="237"/>
      <c r="L36" s="242"/>
      <c r="M36" s="241"/>
    </row>
    <row r="37" spans="1:13" s="166" customFormat="1" ht="24.95" customHeight="1" thickBot="1">
      <c r="A37" s="223"/>
      <c r="B37" s="224" t="s">
        <v>135</v>
      </c>
      <c r="C37" s="371">
        <f>SUM(C4:C36)</f>
        <v>294.55202999999995</v>
      </c>
      <c r="D37" s="371">
        <f>SUM(D4:D36)</f>
        <v>212.28382999999999</v>
      </c>
      <c r="E37" s="371">
        <f>SUM(E4:E36)</f>
        <v>18.636016666666666</v>
      </c>
      <c r="F37" s="371">
        <f>SUM(F4:F36)</f>
        <v>82.268200000000007</v>
      </c>
      <c r="G37" s="225"/>
      <c r="H37" s="226"/>
      <c r="I37" s="227"/>
      <c r="J37" s="226"/>
      <c r="K37" s="226"/>
      <c r="L37" s="228"/>
      <c r="M37" s="229"/>
    </row>
    <row r="38" spans="1:13" s="167" customFormat="1" ht="37.5" customHeight="1" thickTop="1" thickBot="1">
      <c r="A38" s="1027" t="s">
        <v>216</v>
      </c>
      <c r="B38" s="1028"/>
      <c r="C38" s="1029"/>
      <c r="D38" s="1029"/>
      <c r="E38" s="1029"/>
      <c r="F38" s="1029"/>
      <c r="G38" s="1029"/>
      <c r="H38" s="1029"/>
      <c r="I38" s="1029"/>
      <c r="J38" s="1029"/>
      <c r="K38" s="1029"/>
      <c r="L38" s="1029"/>
      <c r="M38" s="1030"/>
    </row>
    <row r="39" spans="1:13" s="167" customFormat="1" ht="21" customHeight="1">
      <c r="A39" s="230">
        <v>1</v>
      </c>
      <c r="B39" s="231" t="s">
        <v>142</v>
      </c>
      <c r="C39" s="186">
        <f>1498000/100000</f>
        <v>14.98</v>
      </c>
      <c r="D39" s="186">
        <f>C39/48*24</f>
        <v>7.49</v>
      </c>
      <c r="E39" s="186">
        <v>0</v>
      </c>
      <c r="F39" s="372">
        <f t="shared" ref="F39:F53" si="1">C39-D39</f>
        <v>7.49</v>
      </c>
      <c r="G39" s="171">
        <v>25</v>
      </c>
      <c r="H39" s="199"/>
      <c r="I39" s="172" t="s">
        <v>146</v>
      </c>
      <c r="J39" s="168" t="s">
        <v>84</v>
      </c>
      <c r="K39" s="168" t="s">
        <v>52</v>
      </c>
      <c r="L39" s="173">
        <v>40917</v>
      </c>
      <c r="M39" s="173"/>
    </row>
    <row r="40" spans="1:13" s="167" customFormat="1" ht="21" customHeight="1">
      <c r="A40" s="230">
        <v>2</v>
      </c>
      <c r="B40" s="231" t="s">
        <v>143</v>
      </c>
      <c r="C40" s="186">
        <f>3491000/100000</f>
        <v>34.909999999999997</v>
      </c>
      <c r="D40" s="186">
        <f>C40/48*24</f>
        <v>17.454999999999998</v>
      </c>
      <c r="E40" s="186">
        <v>0</v>
      </c>
      <c r="F40" s="186">
        <f t="shared" si="1"/>
        <v>17.454999999999998</v>
      </c>
      <c r="G40" s="171">
        <v>25</v>
      </c>
      <c r="H40" s="199"/>
      <c r="I40" s="172" t="s">
        <v>145</v>
      </c>
      <c r="J40" s="168" t="s">
        <v>84</v>
      </c>
      <c r="K40" s="168" t="s">
        <v>52</v>
      </c>
      <c r="L40" s="173">
        <v>40917</v>
      </c>
      <c r="M40" s="173"/>
    </row>
    <row r="41" spans="1:13" s="167" customFormat="1" ht="21" customHeight="1">
      <c r="A41" s="230">
        <v>3</v>
      </c>
      <c r="B41" s="231" t="s">
        <v>144</v>
      </c>
      <c r="C41" s="186">
        <f>1620000/100000</f>
        <v>16.2</v>
      </c>
      <c r="D41" s="186">
        <f>C41/48*24</f>
        <v>8.1</v>
      </c>
      <c r="E41" s="186">
        <v>0</v>
      </c>
      <c r="F41" s="186">
        <f t="shared" si="1"/>
        <v>8.1</v>
      </c>
      <c r="G41" s="171">
        <v>25</v>
      </c>
      <c r="H41" s="199"/>
      <c r="I41" s="172" t="s">
        <v>145</v>
      </c>
      <c r="J41" s="168" t="s">
        <v>84</v>
      </c>
      <c r="K41" s="168" t="s">
        <v>52</v>
      </c>
      <c r="L41" s="173">
        <v>40917</v>
      </c>
      <c r="M41" s="173"/>
    </row>
    <row r="42" spans="1:13" s="167" customFormat="1" ht="21" customHeight="1">
      <c r="A42" s="230">
        <v>4</v>
      </c>
      <c r="B42" s="232" t="s">
        <v>222</v>
      </c>
      <c r="C42" s="373">
        <f>700000/100000</f>
        <v>7</v>
      </c>
      <c r="D42" s="186">
        <v>0</v>
      </c>
      <c r="E42" s="186">
        <v>0</v>
      </c>
      <c r="F42" s="186">
        <f t="shared" si="1"/>
        <v>7</v>
      </c>
      <c r="G42" s="171">
        <v>25</v>
      </c>
      <c r="H42" s="199"/>
      <c r="I42" s="172" t="s">
        <v>148</v>
      </c>
      <c r="J42" s="168" t="s">
        <v>84</v>
      </c>
      <c r="K42" s="168" t="s">
        <v>52</v>
      </c>
      <c r="L42" s="173">
        <v>40917</v>
      </c>
      <c r="M42" s="168"/>
    </row>
    <row r="43" spans="1:13" s="167" customFormat="1" ht="12.75" thickBot="1">
      <c r="A43" s="175"/>
      <c r="B43" s="176" t="s">
        <v>135</v>
      </c>
      <c r="C43" s="374">
        <f>SUM(C39:C42)</f>
        <v>73.09</v>
      </c>
      <c r="D43" s="374">
        <f>SUM(D39:D42)</f>
        <v>33.045000000000002</v>
      </c>
      <c r="E43" s="374">
        <f>SUM(E39:E42)</f>
        <v>0</v>
      </c>
      <c r="F43" s="374">
        <f>SUM(F39:F42)</f>
        <v>40.045000000000002</v>
      </c>
      <c r="G43" s="177"/>
      <c r="H43" s="179"/>
      <c r="I43" s="178"/>
      <c r="J43" s="179"/>
      <c r="K43" s="179"/>
      <c r="L43" s="180"/>
      <c r="M43" s="181"/>
    </row>
    <row r="44" spans="1:13" s="167" customFormat="1" ht="37.5" customHeight="1" thickBot="1">
      <c r="A44" s="1017" t="s">
        <v>150</v>
      </c>
      <c r="B44" s="1018"/>
      <c r="C44" s="1019"/>
      <c r="D44" s="1019"/>
      <c r="E44" s="1019"/>
      <c r="F44" s="1019"/>
      <c r="G44" s="1019"/>
      <c r="H44" s="1019"/>
      <c r="I44" s="1019"/>
      <c r="J44" s="1019"/>
      <c r="K44" s="1019"/>
      <c r="L44" s="1019"/>
      <c r="M44" s="1020"/>
    </row>
    <row r="45" spans="1:13" s="167" customFormat="1" ht="24.75" thickBot="1">
      <c r="A45" s="230">
        <v>1</v>
      </c>
      <c r="B45" s="233" t="s">
        <v>147</v>
      </c>
      <c r="C45" s="376">
        <f>83140000/100000</f>
        <v>831.4</v>
      </c>
      <c r="D45" s="372">
        <v>0</v>
      </c>
      <c r="E45" s="372"/>
      <c r="F45" s="372">
        <f t="shared" si="1"/>
        <v>831.4</v>
      </c>
      <c r="G45" s="183">
        <v>25</v>
      </c>
      <c r="H45" s="198"/>
      <c r="I45" s="182" t="s">
        <v>152</v>
      </c>
      <c r="J45" s="170" t="s">
        <v>504</v>
      </c>
      <c r="K45" s="170" t="s">
        <v>52</v>
      </c>
      <c r="L45" s="184"/>
      <c r="M45" s="168"/>
    </row>
    <row r="46" spans="1:13" s="167" customFormat="1" ht="24">
      <c r="A46" s="230">
        <v>2</v>
      </c>
      <c r="B46" s="233" t="s">
        <v>153</v>
      </c>
      <c r="C46" s="373">
        <f>4024800/100000</f>
        <v>40.247999999999998</v>
      </c>
      <c r="D46" s="186">
        <v>0</v>
      </c>
      <c r="E46" s="186"/>
      <c r="F46" s="186">
        <f t="shared" si="1"/>
        <v>40.247999999999998</v>
      </c>
      <c r="G46" s="171">
        <v>25</v>
      </c>
      <c r="H46" s="199"/>
      <c r="I46" s="172" t="s">
        <v>152</v>
      </c>
      <c r="J46" s="170" t="s">
        <v>504</v>
      </c>
      <c r="K46" s="168" t="s">
        <v>52</v>
      </c>
      <c r="L46" s="173"/>
      <c r="M46" s="168"/>
    </row>
    <row r="47" spans="1:13" s="167" customFormat="1" ht="25.5" customHeight="1">
      <c r="A47" s="230">
        <v>3</v>
      </c>
      <c r="B47" s="233" t="s">
        <v>297</v>
      </c>
      <c r="C47" s="373">
        <f>(1000*2*12)/100000</f>
        <v>0.24</v>
      </c>
      <c r="D47" s="186">
        <f>C47*12/12</f>
        <v>0.24</v>
      </c>
      <c r="E47" s="186">
        <f>C47*2/12</f>
        <v>0.04</v>
      </c>
      <c r="F47" s="186">
        <f t="shared" si="1"/>
        <v>0</v>
      </c>
      <c r="G47" s="171">
        <v>100</v>
      </c>
      <c r="H47" s="197"/>
      <c r="I47" s="172"/>
      <c r="J47" s="210" t="s">
        <v>226</v>
      </c>
      <c r="K47" s="168"/>
      <c r="L47" s="173"/>
      <c r="M47" s="168"/>
    </row>
    <row r="48" spans="1:13" s="167" customFormat="1" ht="25.5" customHeight="1">
      <c r="A48" s="230">
        <v>4</v>
      </c>
      <c r="B48" s="233" t="s">
        <v>296</v>
      </c>
      <c r="C48" s="373">
        <f>730821/100000</f>
        <v>7.3082099999999999</v>
      </c>
      <c r="D48" s="186">
        <f>C48*12/12</f>
        <v>7.3082099999999999</v>
      </c>
      <c r="E48" s="186">
        <f>C48*2/12</f>
        <v>1.218035</v>
      </c>
      <c r="F48" s="186">
        <f t="shared" si="1"/>
        <v>0</v>
      </c>
      <c r="G48" s="171">
        <v>100</v>
      </c>
      <c r="H48" s="197"/>
      <c r="I48" s="172"/>
      <c r="J48" s="210" t="s">
        <v>226</v>
      </c>
      <c r="K48" s="168"/>
      <c r="L48" s="173"/>
      <c r="M48" s="168"/>
    </row>
    <row r="49" spans="1:13" s="167" customFormat="1" ht="16.5" customHeight="1">
      <c r="A49" s="243">
        <v>5</v>
      </c>
      <c r="B49" s="244" t="s">
        <v>298</v>
      </c>
      <c r="C49" s="373">
        <f>(300*0.5*288)/100000</f>
        <v>0.432</v>
      </c>
      <c r="D49" s="186">
        <f>C49*8.5/12</f>
        <v>0.30599999999999999</v>
      </c>
      <c r="E49" s="186">
        <v>0</v>
      </c>
      <c r="F49" s="186">
        <f t="shared" si="1"/>
        <v>0.126</v>
      </c>
      <c r="G49" s="171">
        <v>50</v>
      </c>
      <c r="H49" s="199"/>
      <c r="I49" s="172" t="s">
        <v>289</v>
      </c>
      <c r="J49" s="245"/>
      <c r="K49" s="168"/>
      <c r="L49" s="173"/>
      <c r="M49" s="168"/>
    </row>
    <row r="50" spans="1:13" s="167" customFormat="1" ht="16.5" customHeight="1">
      <c r="A50" s="243">
        <v>6</v>
      </c>
      <c r="B50" s="233" t="s">
        <v>299</v>
      </c>
      <c r="C50" s="373">
        <f>(40*3.5*288)/100000</f>
        <v>0.4032</v>
      </c>
      <c r="D50" s="186">
        <f>C50*12/12</f>
        <v>0.4032</v>
      </c>
      <c r="E50" s="186">
        <f>D50*3/12</f>
        <v>0.1008</v>
      </c>
      <c r="F50" s="186">
        <f t="shared" si="1"/>
        <v>0</v>
      </c>
      <c r="G50" s="171">
        <v>100</v>
      </c>
      <c r="H50" s="197"/>
      <c r="I50" s="172" t="s">
        <v>300</v>
      </c>
      <c r="J50" s="245"/>
      <c r="K50" s="168"/>
      <c r="L50" s="173"/>
      <c r="M50" s="168"/>
    </row>
    <row r="51" spans="1:13" s="167" customFormat="1" ht="16.5" customHeight="1">
      <c r="A51" s="230">
        <v>7</v>
      </c>
      <c r="B51" s="334" t="s">
        <v>394</v>
      </c>
      <c r="C51" s="373">
        <f>'va-ve Weld Shop-p2'!C6</f>
        <v>8.5</v>
      </c>
      <c r="D51" s="186">
        <f>'va-ve Weld Shop-p2'!D6</f>
        <v>8.5</v>
      </c>
      <c r="E51" s="186">
        <f>'va-ve Weld Shop-p2'!E6</f>
        <v>1.7</v>
      </c>
      <c r="F51" s="186">
        <f t="shared" si="1"/>
        <v>0</v>
      </c>
      <c r="G51" s="171">
        <v>100</v>
      </c>
      <c r="H51" s="197"/>
      <c r="I51" s="172"/>
      <c r="J51" s="245"/>
      <c r="K51" s="168"/>
      <c r="L51" s="173"/>
      <c r="M51" s="168"/>
    </row>
    <row r="52" spans="1:13" s="167" customFormat="1" ht="16.5" customHeight="1">
      <c r="A52" s="230">
        <v>8</v>
      </c>
      <c r="B52" s="334" t="s">
        <v>395</v>
      </c>
      <c r="C52" s="373">
        <f>'va-ve Weld Shop-p2'!C7</f>
        <v>0.7</v>
      </c>
      <c r="D52" s="186">
        <f>'va-ve Weld Shop-p2'!D7</f>
        <v>0.52500000000000002</v>
      </c>
      <c r="E52" s="186">
        <f>'va-ve Weld Shop-p2'!E7</f>
        <v>0</v>
      </c>
      <c r="F52" s="186">
        <f t="shared" si="1"/>
        <v>0.17499999999999993</v>
      </c>
      <c r="G52" s="171">
        <v>75</v>
      </c>
      <c r="H52" s="199"/>
      <c r="I52" s="172"/>
      <c r="J52" s="245"/>
      <c r="K52" s="168"/>
      <c r="L52" s="173"/>
      <c r="M52" s="168"/>
    </row>
    <row r="53" spans="1:13" s="167" customFormat="1" ht="16.5" customHeight="1">
      <c r="A53" s="230">
        <v>9</v>
      </c>
      <c r="B53" s="334" t="s">
        <v>396</v>
      </c>
      <c r="C53" s="373">
        <f>'va-ve Weld Shop-p2'!C17</f>
        <v>12.8</v>
      </c>
      <c r="D53" s="186">
        <f>'va-ve Weld Shop-p2'!D17</f>
        <v>10.133333333333335</v>
      </c>
      <c r="E53" s="186">
        <f>'va-ve Weld Shop-p2'!E17</f>
        <v>0</v>
      </c>
      <c r="F53" s="186">
        <f t="shared" si="1"/>
        <v>2.6666666666666661</v>
      </c>
      <c r="G53" s="171">
        <v>75</v>
      </c>
      <c r="H53" s="199"/>
      <c r="I53" s="172"/>
      <c r="J53" s="245"/>
      <c r="K53" s="168"/>
      <c r="L53" s="173"/>
      <c r="M53" s="168"/>
    </row>
    <row r="54" spans="1:13" s="167" customFormat="1" ht="16.5" customHeight="1">
      <c r="A54" s="243"/>
      <c r="B54" s="244"/>
      <c r="C54" s="373"/>
      <c r="D54" s="186"/>
      <c r="E54" s="186"/>
      <c r="F54" s="186"/>
      <c r="G54" s="171"/>
      <c r="H54" s="199"/>
      <c r="I54" s="172"/>
      <c r="J54" s="245"/>
      <c r="K54" s="168"/>
      <c r="L54" s="173"/>
      <c r="M54" s="168"/>
    </row>
    <row r="55" spans="1:13" s="167" customFormat="1" ht="16.5" customHeight="1">
      <c r="A55" s="246"/>
      <c r="B55" s="244"/>
      <c r="C55" s="168"/>
      <c r="D55" s="169"/>
      <c r="E55" s="168"/>
      <c r="F55" s="169"/>
      <c r="G55" s="171"/>
      <c r="H55" s="168"/>
      <c r="I55" s="172"/>
      <c r="J55" s="245"/>
      <c r="K55" s="168"/>
      <c r="L55" s="173"/>
      <c r="M55" s="168"/>
    </row>
    <row r="56" spans="1:13" s="167" customFormat="1" ht="18.75" customHeight="1">
      <c r="A56" s="168"/>
      <c r="B56" s="185" t="s">
        <v>135</v>
      </c>
      <c r="C56" s="375">
        <f>SUM(C45:C53)</f>
        <v>902.03141000000005</v>
      </c>
      <c r="D56" s="375">
        <f>SUM(D45:D53)</f>
        <v>27.415743333333332</v>
      </c>
      <c r="E56" s="375">
        <f>SUM(E45:E53)</f>
        <v>3.0588350000000002</v>
      </c>
      <c r="F56" s="375">
        <f>SUM(F45:F53)</f>
        <v>874.61566666666658</v>
      </c>
      <c r="G56" s="186"/>
      <c r="H56" s="168"/>
      <c r="I56" s="172"/>
      <c r="J56" s="187"/>
      <c r="K56" s="187"/>
      <c r="L56" s="168"/>
      <c r="M56" s="168"/>
    </row>
    <row r="57" spans="1:13" s="167" customFormat="1" ht="12">
      <c r="A57" s="168"/>
      <c r="B57" s="168"/>
      <c r="C57" s="168"/>
      <c r="D57" s="169"/>
      <c r="E57" s="168"/>
      <c r="F57" s="168"/>
      <c r="G57" s="186"/>
      <c r="H57" s="168"/>
      <c r="I57" s="172"/>
      <c r="J57" s="172"/>
      <c r="K57" s="172"/>
      <c r="L57" s="172"/>
      <c r="M57" s="168"/>
    </row>
    <row r="58" spans="1:13" s="167" customFormat="1" ht="12">
      <c r="A58" s="168"/>
      <c r="B58" s="188" t="s">
        <v>217</v>
      </c>
      <c r="C58" s="186">
        <f>C37+C43+C56</f>
        <v>1269.67344</v>
      </c>
      <c r="D58" s="186">
        <f>D37+D43+D56</f>
        <v>272.74457333333334</v>
      </c>
      <c r="E58" s="186">
        <f>E37+E43+E56</f>
        <v>21.694851666666665</v>
      </c>
      <c r="F58" s="186">
        <f>F37+F43+F56</f>
        <v>996.92886666666664</v>
      </c>
      <c r="G58" s="186"/>
      <c r="H58" s="168"/>
      <c r="I58" s="172"/>
      <c r="J58" s="172"/>
      <c r="K58" s="172"/>
      <c r="L58" s="172"/>
      <c r="M58" s="172"/>
    </row>
    <row r="59" spans="1:13" s="167" customFormat="1" ht="12">
      <c r="A59" s="168"/>
      <c r="B59" s="168"/>
      <c r="C59" s="168"/>
      <c r="D59" s="169"/>
      <c r="E59" s="168"/>
      <c r="F59" s="168"/>
      <c r="G59" s="186"/>
      <c r="H59" s="168"/>
      <c r="I59" s="172"/>
      <c r="J59" s="172"/>
      <c r="K59" s="172"/>
      <c r="L59" s="172"/>
      <c r="M59" s="172"/>
    </row>
    <row r="60" spans="1:13" s="167" customFormat="1" ht="12">
      <c r="A60" s="168"/>
      <c r="B60" s="168"/>
      <c r="C60" s="168"/>
      <c r="D60" s="169"/>
      <c r="E60" s="168"/>
      <c r="F60" s="168"/>
      <c r="G60" s="186"/>
      <c r="H60" s="168"/>
      <c r="I60" s="172"/>
      <c r="J60" s="174"/>
      <c r="K60" s="174"/>
      <c r="L60" s="174"/>
      <c r="M60" s="174"/>
    </row>
    <row r="61" spans="1:13" s="167" customFormat="1" ht="12">
      <c r="A61" s="168"/>
      <c r="B61" s="168"/>
      <c r="C61" s="168"/>
      <c r="D61" s="169"/>
      <c r="E61" s="168"/>
      <c r="F61" s="168"/>
      <c r="G61" s="186"/>
      <c r="H61" s="168"/>
      <c r="I61" s="172"/>
      <c r="J61" s="174"/>
      <c r="K61" s="174"/>
      <c r="L61" s="174"/>
      <c r="M61" s="174"/>
    </row>
    <row r="62" spans="1:13" s="167" customFormat="1" ht="12">
      <c r="A62" s="172"/>
      <c r="B62" s="172"/>
      <c r="C62" s="172"/>
      <c r="D62" s="189"/>
      <c r="E62" s="172"/>
      <c r="F62" s="172"/>
      <c r="G62" s="172"/>
      <c r="H62" s="172"/>
      <c r="I62" s="172"/>
      <c r="J62" s="174"/>
      <c r="K62" s="174"/>
      <c r="L62" s="174"/>
      <c r="M62" s="174"/>
    </row>
    <row r="63" spans="1:13" s="167" customFormat="1" ht="12">
      <c r="A63" s="174"/>
      <c r="B63" s="174"/>
      <c r="C63" s="174"/>
      <c r="D63" s="190"/>
      <c r="E63" s="174"/>
      <c r="F63" s="174"/>
      <c r="G63" s="174"/>
      <c r="H63" s="174"/>
      <c r="I63" s="174"/>
      <c r="J63" s="174"/>
      <c r="K63" s="174"/>
      <c r="L63" s="174"/>
      <c r="M63" s="174"/>
    </row>
    <row r="64" spans="1:13" s="167" customFormat="1" ht="12">
      <c r="A64" s="174"/>
      <c r="B64" s="174"/>
      <c r="C64" s="174"/>
      <c r="D64" s="190"/>
      <c r="E64" s="174"/>
      <c r="F64" s="174"/>
      <c r="G64" s="174"/>
      <c r="H64" s="174"/>
      <c r="I64" s="174"/>
      <c r="J64" s="174"/>
      <c r="K64" s="174"/>
      <c r="L64" s="174"/>
      <c r="M64" s="174"/>
    </row>
    <row r="65" spans="1:13" s="167" customFormat="1" ht="12">
      <c r="A65" s="174"/>
      <c r="B65" s="174"/>
      <c r="C65" s="174"/>
      <c r="D65" s="190"/>
      <c r="E65" s="174"/>
      <c r="F65" s="174"/>
      <c r="G65" s="174"/>
      <c r="H65" s="174"/>
      <c r="I65" s="174"/>
      <c r="J65" s="174"/>
      <c r="K65" s="174"/>
      <c r="L65" s="174"/>
      <c r="M65" s="174"/>
    </row>
    <row r="66" spans="1:13" s="167" customFormat="1" ht="12">
      <c r="A66" s="174"/>
      <c r="B66" s="174"/>
      <c r="C66" s="174"/>
      <c r="D66" s="190"/>
      <c r="E66" s="174"/>
      <c r="F66" s="174"/>
      <c r="G66" s="174"/>
      <c r="H66" s="174"/>
      <c r="I66" s="174"/>
      <c r="J66" s="174"/>
      <c r="K66" s="174"/>
      <c r="L66" s="174"/>
      <c r="M66" s="174"/>
    </row>
    <row r="67" spans="1:13" s="167" customFormat="1" ht="12">
      <c r="A67" s="174"/>
      <c r="B67" s="174"/>
      <c r="C67" s="174"/>
      <c r="D67" s="190"/>
      <c r="E67" s="174"/>
      <c r="F67" s="174"/>
      <c r="G67" s="174"/>
      <c r="H67" s="174"/>
      <c r="I67" s="174"/>
      <c r="J67" s="174"/>
      <c r="K67" s="174"/>
      <c r="L67" s="174"/>
      <c r="M67" s="174"/>
    </row>
    <row r="68" spans="1:13" s="167" customFormat="1" ht="12">
      <c r="A68" s="174"/>
      <c r="B68" s="174"/>
      <c r="C68" s="174"/>
      <c r="D68" s="190"/>
      <c r="E68" s="174"/>
      <c r="F68" s="174"/>
      <c r="G68" s="174"/>
      <c r="H68" s="174"/>
      <c r="I68" s="191"/>
      <c r="J68" s="174"/>
      <c r="K68" s="174"/>
      <c r="L68" s="174"/>
      <c r="M68" s="174"/>
    </row>
    <row r="69" spans="1:13" s="167" customFormat="1" ht="12">
      <c r="A69" s="174"/>
      <c r="B69" s="174"/>
      <c r="C69" s="174"/>
      <c r="D69" s="190"/>
      <c r="E69" s="174"/>
      <c r="F69" s="174"/>
      <c r="G69" s="174"/>
      <c r="H69" s="174"/>
      <c r="I69" s="191"/>
      <c r="J69" s="174"/>
      <c r="K69" s="174"/>
      <c r="L69" s="174"/>
      <c r="M69" s="174"/>
    </row>
    <row r="70" spans="1:13" s="167" customFormat="1" ht="12">
      <c r="A70" s="174"/>
      <c r="B70" s="174"/>
      <c r="C70" s="174"/>
      <c r="D70" s="190"/>
      <c r="E70" s="174"/>
      <c r="F70" s="174"/>
      <c r="G70" s="174"/>
      <c r="H70" s="174"/>
      <c r="I70" s="191"/>
      <c r="J70" s="174"/>
      <c r="K70" s="174"/>
      <c r="L70" s="174"/>
      <c r="M70" s="174"/>
    </row>
    <row r="71" spans="1:13" s="167" customFormat="1" ht="12">
      <c r="A71" s="174"/>
      <c r="B71" s="174"/>
      <c r="C71" s="174"/>
      <c r="D71" s="190"/>
      <c r="E71" s="174"/>
      <c r="F71" s="174"/>
      <c r="G71" s="174"/>
      <c r="H71" s="174"/>
      <c r="I71" s="191"/>
      <c r="J71" s="174"/>
      <c r="K71" s="174"/>
      <c r="L71" s="174"/>
      <c r="M71" s="174"/>
    </row>
    <row r="72" spans="1:13" s="167" customFormat="1" ht="12">
      <c r="A72" s="174"/>
      <c r="B72" s="174"/>
      <c r="C72" s="174"/>
      <c r="D72" s="190"/>
      <c r="E72" s="174"/>
      <c r="F72" s="174"/>
      <c r="G72" s="174"/>
      <c r="H72" s="174"/>
      <c r="I72" s="191"/>
      <c r="J72" s="174"/>
      <c r="K72" s="174"/>
      <c r="L72" s="174"/>
      <c r="M72" s="174"/>
    </row>
    <row r="73" spans="1:13" s="167" customFormat="1" ht="12">
      <c r="A73" s="174"/>
      <c r="B73" s="174"/>
      <c r="C73" s="174"/>
      <c r="D73" s="190"/>
      <c r="E73" s="174"/>
      <c r="F73" s="174"/>
      <c r="G73" s="174"/>
      <c r="H73" s="174"/>
      <c r="I73" s="191"/>
      <c r="J73" s="174"/>
      <c r="K73" s="174"/>
      <c r="L73" s="174"/>
      <c r="M73" s="174"/>
    </row>
    <row r="74" spans="1:13" s="167" customFormat="1" ht="12">
      <c r="A74" s="174"/>
      <c r="B74" s="174"/>
      <c r="C74" s="174"/>
      <c r="D74" s="190"/>
      <c r="E74" s="174"/>
      <c r="F74" s="174"/>
      <c r="G74" s="174"/>
      <c r="H74" s="174"/>
      <c r="I74" s="191"/>
      <c r="J74" s="174"/>
      <c r="K74" s="174"/>
      <c r="L74" s="174"/>
      <c r="M74" s="174"/>
    </row>
    <row r="75" spans="1:13" s="167" customFormat="1" ht="12">
      <c r="A75" s="174"/>
      <c r="B75" s="174"/>
      <c r="C75" s="174"/>
      <c r="D75" s="190"/>
      <c r="E75" s="174"/>
      <c r="F75" s="174"/>
      <c r="G75" s="174"/>
      <c r="H75" s="174"/>
      <c r="I75" s="191"/>
      <c r="J75" s="174"/>
      <c r="K75" s="174"/>
      <c r="L75" s="174"/>
      <c r="M75" s="174"/>
    </row>
    <row r="76" spans="1:13" s="167" customFormat="1" ht="12">
      <c r="A76" s="174"/>
      <c r="B76" s="174"/>
      <c r="C76" s="174"/>
      <c r="D76" s="190"/>
      <c r="E76" s="174"/>
      <c r="F76" s="174"/>
      <c r="G76" s="174"/>
      <c r="H76" s="174"/>
      <c r="I76" s="191"/>
      <c r="J76" s="174"/>
      <c r="K76" s="174"/>
      <c r="L76" s="174"/>
      <c r="M76" s="174"/>
    </row>
    <row r="77" spans="1:13" s="167" customFormat="1" ht="12">
      <c r="A77" s="174"/>
      <c r="B77" s="174"/>
      <c r="C77" s="174"/>
      <c r="D77" s="190"/>
      <c r="E77" s="174"/>
      <c r="F77" s="174"/>
      <c r="G77" s="174"/>
      <c r="H77" s="174"/>
      <c r="I77" s="191"/>
      <c r="J77" s="174"/>
      <c r="K77" s="174"/>
      <c r="L77" s="174"/>
      <c r="M77" s="174"/>
    </row>
    <row r="78" spans="1:13" s="167" customFormat="1" ht="12">
      <c r="A78" s="174"/>
      <c r="B78" s="174"/>
      <c r="C78" s="174"/>
      <c r="D78" s="190"/>
      <c r="E78" s="174"/>
      <c r="F78" s="174"/>
      <c r="G78" s="174"/>
      <c r="H78" s="174"/>
      <c r="I78" s="191"/>
      <c r="J78" s="174"/>
      <c r="K78" s="174"/>
      <c r="L78" s="174"/>
      <c r="M78" s="174"/>
    </row>
    <row r="79" spans="1:13" s="167" customFormat="1" ht="12">
      <c r="A79" s="174"/>
      <c r="B79" s="174"/>
      <c r="C79" s="174"/>
      <c r="D79" s="190"/>
      <c r="E79" s="174"/>
      <c r="F79" s="174"/>
      <c r="G79" s="174"/>
      <c r="H79" s="174"/>
      <c r="I79" s="191"/>
      <c r="J79" s="174"/>
      <c r="K79" s="174"/>
      <c r="L79" s="174"/>
      <c r="M79" s="174"/>
    </row>
    <row r="80" spans="1:13" s="167" customFormat="1" ht="12">
      <c r="A80" s="174"/>
      <c r="B80" s="174"/>
      <c r="C80" s="174"/>
      <c r="D80" s="190"/>
      <c r="E80" s="174"/>
      <c r="F80" s="174"/>
      <c r="G80" s="174"/>
      <c r="H80" s="174"/>
      <c r="I80" s="191"/>
      <c r="J80" s="174"/>
      <c r="K80" s="174"/>
      <c r="L80" s="174"/>
      <c r="M80" s="174"/>
    </row>
    <row r="81" spans="1:13" s="167" customFormat="1" ht="12">
      <c r="A81" s="174"/>
      <c r="B81" s="174"/>
      <c r="C81" s="174"/>
      <c r="D81" s="190"/>
      <c r="E81" s="174"/>
      <c r="F81" s="174"/>
      <c r="G81" s="174"/>
      <c r="H81" s="174"/>
      <c r="I81" s="191"/>
      <c r="J81" s="174"/>
      <c r="K81" s="174"/>
      <c r="L81" s="174"/>
      <c r="M81" s="174"/>
    </row>
    <row r="82" spans="1:13" s="167" customFormat="1" ht="12">
      <c r="A82" s="174"/>
      <c r="B82" s="174"/>
      <c r="C82" s="174"/>
      <c r="D82" s="190"/>
      <c r="E82" s="174"/>
      <c r="F82" s="174"/>
      <c r="G82" s="174"/>
      <c r="H82" s="174"/>
      <c r="I82" s="191"/>
      <c r="J82" s="174"/>
      <c r="K82" s="174"/>
      <c r="L82" s="174"/>
      <c r="M82" s="174"/>
    </row>
    <row r="83" spans="1:13" s="167" customFormat="1" ht="12">
      <c r="A83" s="174"/>
      <c r="B83" s="174"/>
      <c r="C83" s="174"/>
      <c r="D83" s="190"/>
      <c r="E83" s="174"/>
      <c r="F83" s="174"/>
      <c r="G83" s="174"/>
      <c r="H83" s="174"/>
      <c r="I83" s="191"/>
      <c r="J83" s="174"/>
      <c r="K83" s="174"/>
      <c r="L83" s="174"/>
      <c r="M83" s="174"/>
    </row>
    <row r="84" spans="1:13" s="167" customFormat="1" ht="12">
      <c r="A84" s="174"/>
      <c r="B84" s="174"/>
      <c r="C84" s="174"/>
      <c r="D84" s="190"/>
      <c r="E84" s="174"/>
      <c r="F84" s="174"/>
      <c r="G84" s="174"/>
      <c r="H84" s="174"/>
      <c r="I84" s="191"/>
      <c r="J84" s="174"/>
      <c r="K84" s="174"/>
      <c r="L84" s="174"/>
      <c r="M84" s="174"/>
    </row>
    <row r="85" spans="1:13" s="167" customFormat="1" ht="12">
      <c r="A85" s="174"/>
      <c r="B85" s="174"/>
      <c r="C85" s="174"/>
      <c r="D85" s="190"/>
      <c r="E85" s="174"/>
      <c r="F85" s="174"/>
      <c r="G85" s="174"/>
      <c r="H85" s="174"/>
      <c r="I85" s="191"/>
      <c r="J85" s="174"/>
      <c r="K85" s="174"/>
      <c r="L85" s="174"/>
      <c r="M85" s="174"/>
    </row>
    <row r="86" spans="1:13" s="167" customFormat="1" ht="12">
      <c r="A86" s="174"/>
      <c r="B86" s="174"/>
      <c r="C86" s="174"/>
      <c r="D86" s="190"/>
      <c r="E86" s="174"/>
      <c r="F86" s="174"/>
      <c r="G86" s="174"/>
      <c r="H86" s="174"/>
      <c r="I86" s="191"/>
      <c r="J86" s="174"/>
      <c r="K86" s="174"/>
      <c r="L86" s="174"/>
      <c r="M86" s="174"/>
    </row>
    <row r="87" spans="1:13" s="167" customFormat="1" ht="12">
      <c r="A87" s="174"/>
      <c r="B87" s="174"/>
      <c r="C87" s="174"/>
      <c r="D87" s="190"/>
      <c r="E87" s="174"/>
      <c r="F87" s="174"/>
      <c r="G87" s="174"/>
      <c r="H87" s="174"/>
      <c r="I87" s="191"/>
      <c r="J87" s="174"/>
      <c r="K87" s="174"/>
      <c r="L87" s="174"/>
      <c r="M87" s="174"/>
    </row>
    <row r="88" spans="1:13" s="167" customFormat="1" ht="12">
      <c r="A88" s="174"/>
      <c r="B88" s="174"/>
      <c r="C88" s="174"/>
      <c r="D88" s="190"/>
      <c r="E88" s="174"/>
      <c r="F88" s="174"/>
      <c r="G88" s="174"/>
      <c r="H88" s="174"/>
      <c r="I88" s="191"/>
      <c r="J88" s="174"/>
      <c r="K88" s="174"/>
      <c r="L88" s="174"/>
      <c r="M88" s="174"/>
    </row>
    <row r="89" spans="1:13" s="167" customFormat="1" ht="12">
      <c r="A89" s="174"/>
      <c r="B89" s="174"/>
      <c r="C89" s="174"/>
      <c r="D89" s="190"/>
      <c r="E89" s="174"/>
      <c r="F89" s="174"/>
      <c r="G89" s="174"/>
      <c r="H89" s="174"/>
      <c r="I89" s="191"/>
      <c r="J89" s="174"/>
      <c r="K89" s="174"/>
      <c r="L89" s="174"/>
      <c r="M89" s="174"/>
    </row>
    <row r="90" spans="1:13" s="167" customFormat="1" ht="12">
      <c r="A90" s="174"/>
      <c r="B90" s="174"/>
      <c r="C90" s="174"/>
      <c r="D90" s="190"/>
      <c r="E90" s="174"/>
      <c r="F90" s="174"/>
      <c r="G90" s="174"/>
      <c r="H90" s="174"/>
      <c r="I90" s="191"/>
      <c r="J90" s="174"/>
      <c r="K90" s="174"/>
      <c r="L90" s="174"/>
      <c r="M90" s="174"/>
    </row>
    <row r="91" spans="1:13" s="167" customFormat="1" ht="12">
      <c r="A91" s="174"/>
      <c r="B91" s="174"/>
      <c r="C91" s="174"/>
      <c r="D91" s="190"/>
      <c r="E91" s="174"/>
      <c r="F91" s="174"/>
      <c r="G91" s="174"/>
      <c r="H91" s="174"/>
      <c r="I91" s="191"/>
      <c r="J91" s="174"/>
      <c r="K91" s="174"/>
      <c r="L91" s="174"/>
      <c r="M91" s="174"/>
    </row>
    <row r="92" spans="1:13" s="167" customFormat="1" ht="12">
      <c r="A92" s="174"/>
      <c r="B92" s="174"/>
      <c r="C92" s="174"/>
      <c r="D92" s="190"/>
      <c r="E92" s="174"/>
      <c r="F92" s="174"/>
      <c r="G92" s="174"/>
      <c r="H92" s="174"/>
      <c r="I92" s="191"/>
      <c r="J92" s="174"/>
      <c r="K92" s="174"/>
      <c r="L92" s="174"/>
      <c r="M92" s="174"/>
    </row>
    <row r="93" spans="1:13" s="167" customFormat="1" ht="12">
      <c r="A93" s="174"/>
      <c r="B93" s="174"/>
      <c r="C93" s="174"/>
      <c r="D93" s="190"/>
      <c r="E93" s="174"/>
      <c r="F93" s="174"/>
      <c r="G93" s="174"/>
      <c r="H93" s="174"/>
      <c r="I93" s="191"/>
      <c r="J93" s="174"/>
      <c r="K93" s="174"/>
      <c r="L93" s="174"/>
      <c r="M93" s="174"/>
    </row>
    <row r="94" spans="1:13" s="167" customFormat="1" ht="12.75" thickBot="1">
      <c r="A94" s="192"/>
      <c r="B94" s="192"/>
      <c r="C94" s="192"/>
      <c r="D94" s="193"/>
      <c r="E94" s="192"/>
      <c r="F94" s="192"/>
      <c r="G94" s="192"/>
      <c r="H94" s="192"/>
      <c r="I94" s="194"/>
      <c r="J94" s="192"/>
      <c r="K94" s="192"/>
      <c r="L94" s="192"/>
      <c r="M94" s="192"/>
    </row>
    <row r="95" spans="1:13" s="167" customFormat="1" ht="12">
      <c r="D95" s="195"/>
    </row>
    <row r="96" spans="1:13" s="167" customFormat="1" ht="12">
      <c r="D96" s="195"/>
    </row>
    <row r="97" spans="4:4" s="167" customFormat="1" ht="12">
      <c r="D97" s="195"/>
    </row>
    <row r="98" spans="4:4" s="167" customFormat="1" ht="12">
      <c r="D98" s="195"/>
    </row>
    <row r="99" spans="4:4" s="167" customFormat="1" ht="12">
      <c r="D99" s="195"/>
    </row>
    <row r="100" spans="4:4" s="167" customFormat="1" ht="12">
      <c r="D100" s="195"/>
    </row>
    <row r="101" spans="4:4" s="167" customFormat="1" ht="12">
      <c r="D101" s="195"/>
    </row>
  </sheetData>
  <mergeCells count="16">
    <mergeCell ref="A1:B1"/>
    <mergeCell ref="C1:H1"/>
    <mergeCell ref="I1:J1"/>
    <mergeCell ref="L1:M1"/>
    <mergeCell ref="A2:A3"/>
    <mergeCell ref="B2:B3"/>
    <mergeCell ref="C2:C3"/>
    <mergeCell ref="D2:G2"/>
    <mergeCell ref="H2:H3"/>
    <mergeCell ref="A44:M44"/>
    <mergeCell ref="I2:I3"/>
    <mergeCell ref="J2:J3"/>
    <mergeCell ref="K2:K3"/>
    <mergeCell ref="L2:L3"/>
    <mergeCell ref="M2:M3"/>
    <mergeCell ref="A38:M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</vt:i4>
      </vt:variant>
    </vt:vector>
  </HeadingPairs>
  <TitlesOfParts>
    <vt:vector size="21" baseType="lpstr">
      <vt:lpstr>Team</vt:lpstr>
      <vt:lpstr>Summary </vt:lpstr>
      <vt:lpstr>Summary - 1, 2 &amp; 3</vt:lpstr>
      <vt:lpstr>VAVE-Plant-3</vt:lpstr>
      <vt:lpstr>Master Plan-SKH3</vt:lpstr>
      <vt:lpstr>Localization</vt:lpstr>
      <vt:lpstr>Costing</vt:lpstr>
      <vt:lpstr>Coil Blking</vt:lpstr>
      <vt:lpstr>VAVE-Binola &amp; SMC (2)</vt:lpstr>
      <vt:lpstr>Master Plan-Binol &amp; SMC</vt:lpstr>
      <vt:lpstr>va-ve Weld Shop-p2</vt:lpstr>
      <vt:lpstr>VAVE-Plant-1</vt:lpstr>
      <vt:lpstr>Volume</vt:lpstr>
      <vt:lpstr>SPM Upgr</vt:lpstr>
      <vt:lpstr>Sheet1</vt:lpstr>
      <vt:lpstr>SPM Upgr -Trial</vt:lpstr>
      <vt:lpstr>Sheet2</vt:lpstr>
      <vt:lpstr>Costing!Print_Area</vt:lpstr>
      <vt:lpstr>'Master Plan-Binol &amp; SMC'!Print_Area</vt:lpstr>
      <vt:lpstr>'Master Plan-SKH3'!Print_Area</vt:lpstr>
      <vt:lpstr>'VAVE-Plant-3'!Print_Area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Jitendraa Dikkshit</dc:creator>
  <cp:lastModifiedBy>harjitsingh</cp:lastModifiedBy>
  <cp:lastPrinted>2013-02-24T07:29:18Z</cp:lastPrinted>
  <dcterms:created xsi:type="dcterms:W3CDTF">2012-05-18T07:31:05Z</dcterms:created>
  <dcterms:modified xsi:type="dcterms:W3CDTF">2013-03-06T12:48:40Z</dcterms:modified>
</cp:coreProperties>
</file>